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400" windowHeight="11640" tabRatio="658" firstSheet="2" activeTab="7"/>
  </bookViews>
  <sheets>
    <sheet name="Введение" sheetId="1" r:id="rId1"/>
    <sheet name="План" sheetId="2" r:id="rId2"/>
    <sheet name="Примеч-е" sheetId="3" r:id="rId3"/>
    <sheet name="Паспорт" sheetId="4" r:id="rId4"/>
    <sheet name="Табл.1" sheetId="5" r:id="rId5"/>
    <sheet name="Табл.2" sheetId="6" r:id="rId6"/>
    <sheet name="Табл.3" sheetId="7" r:id="rId7"/>
    <sheet name="Табл.4" sheetId="8" r:id="rId8"/>
    <sheet name="Табл.5" sheetId="9" r:id="rId9"/>
    <sheet name="Табл.6" sheetId="10" r:id="rId10"/>
    <sheet name="Табл.7" sheetId="11" r:id="rId11"/>
    <sheet name="Табл.8" sheetId="12" r:id="rId12"/>
    <sheet name="Оценка эфф-ти" sheetId="13" r:id="rId13"/>
    <sheet name="Основ-е мероп-я" sheetId="14" r:id="rId14"/>
    <sheet name="Реком-е мероп-я" sheetId="15" r:id="rId15"/>
  </sheets>
  <definedNames>
    <definedName name="_xlnm.Print_Area" localSheetId="0">'Введение'!$A$1:$I$9</definedName>
    <definedName name="_xlnm.Print_Area" localSheetId="12">'Оценка эфф-ти'!$A$1:$L$34</definedName>
    <definedName name="_xlnm.Print_Area" localSheetId="3">'Паспорт'!$A$1:$L$52</definedName>
    <definedName name="_xlnm.Print_Area" localSheetId="1">'План'!$A$1:$I$14</definedName>
    <definedName name="_xlnm.Print_Area" localSheetId="2">'Примеч-е'!$A$1:$J$18</definedName>
    <definedName name="_xlnm.Print_Area" localSheetId="14">'Реком-е мероп-я'!$A$1:$J$20</definedName>
    <definedName name="_xlnm.Print_Area" localSheetId="5">'Табл.2'!$A$1:$B$64</definedName>
    <definedName name="_xlnm.Print_Area" localSheetId="6">'Табл.3'!$A$1:$AV$49</definedName>
    <definedName name="_xlnm.Print_Area" localSheetId="7">'Табл.4'!$A$1:$M$26</definedName>
    <definedName name="_xlnm.Print_Area" localSheetId="8">'Табл.5'!$A$1:$O$42</definedName>
    <definedName name="_xlnm.Print_Area" localSheetId="9">'Табл.6'!$A$1:$O$49</definedName>
    <definedName name="_xlnm.Print_Area" localSheetId="10">'Табл.7'!$A$1:$W$39</definedName>
    <definedName name="_xlnm.Print_Area" localSheetId="11">'Табл.8'!$A$1:$S$38</definedName>
  </definedNames>
  <calcPr fullCalcOnLoad="1"/>
</workbook>
</file>

<file path=xl/comments13.xml><?xml version="1.0" encoding="utf-8"?>
<comments xmlns="http://schemas.openxmlformats.org/spreadsheetml/2006/main">
  <authors>
    <author>Щелоков</author>
  </authors>
  <commentList>
    <comment ref="B6" authorId="0">
      <text>
        <r>
          <rPr>
            <sz val="9"/>
            <rFont val="Tahoma"/>
            <family val="2"/>
          </rPr>
          <t xml:space="preserve">
где,
279,9 - плановое финансирование мероприятий за отчетный год, до корректировки, тыс. руб., берется из табл. 4 "Итого по всем мероприятиям";
Fфакт - фактическое финансирование мероприятий за отчетный год, после корректировки, тыс. рублей, берется из табл. 4 "Итого по всем мероприятиям";
6 - количество целевых показателей (берется из табл.7). В табл. № 7 отображено 7 индикаторов целей программы. В каждом индикаторе по 2 целевых показателя: целевой показатель в натуральном выражении и целевой показатель в денежном выражении.  
35,0 - фактическое потребление э/э в отчетном году, кВтч;
180,0 - фактическая оплата потребленной в отчетном году э/э, тыс. руб.;
450,0 - фактическое потребление т/э в отчетном году, Гкал;
700,0 - фактическая оплата потребленной в отчетном году т/э, тыс. руб;
1867,0 - фактическое потребление воды в отчетном году, куб.м;
166,368 - фактическая оплата потребленной в отчетном году воды, тыс. руб.</t>
        </r>
      </text>
    </comment>
  </commentList>
</comments>
</file>

<file path=xl/comments6.xml><?xml version="1.0" encoding="utf-8"?>
<comments xmlns="http://schemas.openxmlformats.org/spreadsheetml/2006/main">
  <authors>
    <author>vyskrebentseva</author>
  </authors>
  <commentList>
    <comment ref="A12" authorId="0">
      <text>
        <r>
          <rPr>
            <b/>
            <sz val="9"/>
            <rFont val="Tahoma"/>
            <family val="2"/>
          </rPr>
          <t>vyskrebentseva:</t>
        </r>
        <r>
          <rPr>
            <sz val="9"/>
            <rFont val="Tahoma"/>
            <family val="2"/>
          </rPr>
          <t xml:space="preserve">
Площадь стен по периметру</t>
        </r>
      </text>
    </comment>
    <comment ref="A17" authorId="0">
      <text>
        <r>
          <rPr>
            <b/>
            <sz val="9"/>
            <rFont val="Tahoma"/>
            <family val="2"/>
          </rPr>
          <t>vyskrebentseva:</t>
        </r>
        <r>
          <rPr>
            <sz val="9"/>
            <rFont val="Tahoma"/>
            <family val="2"/>
          </rPr>
          <t xml:space="preserve">
Высота помещений в свету - от потолка до пола</t>
        </r>
      </text>
    </comment>
  </commentList>
</comments>
</file>

<file path=xl/comments7.xml><?xml version="1.0" encoding="utf-8"?>
<comments xmlns="http://schemas.openxmlformats.org/spreadsheetml/2006/main">
  <authors>
    <author>Щелоков</author>
  </authors>
  <commentList>
    <comment ref="A15" authorId="0">
      <text>
        <r>
          <rPr>
            <b/>
            <sz val="9"/>
            <rFont val="Tahoma"/>
            <family val="2"/>
          </rPr>
          <t>Щелоков:</t>
        </r>
        <r>
          <rPr>
            <sz val="9"/>
            <rFont val="Tahoma"/>
            <family val="2"/>
          </rPr>
          <t xml:space="preserve">
Если учреждение имеет в составе более одного объекта (здания, строения, сооружения) в ячейке суммируются показатели площади всех объектов </t>
        </r>
      </text>
    </comment>
    <comment ref="A18" authorId="0">
      <text>
        <r>
          <rPr>
            <b/>
            <sz val="9"/>
            <rFont val="Tahoma"/>
            <family val="2"/>
          </rPr>
          <t>Щелоков:</t>
        </r>
        <r>
          <rPr>
            <sz val="9"/>
            <rFont val="Tahoma"/>
            <family val="2"/>
          </rPr>
          <t xml:space="preserve">
Площадь стен по периметру</t>
        </r>
      </text>
    </comment>
    <comment ref="A22" authorId="0">
      <text>
        <r>
          <rPr>
            <b/>
            <sz val="9"/>
            <rFont val="Tahoma"/>
            <family val="2"/>
          </rPr>
          <t>Щелоков:</t>
        </r>
        <r>
          <rPr>
            <sz val="9"/>
            <rFont val="Tahoma"/>
            <family val="2"/>
          </rPr>
          <t xml:space="preserve">
Высота помещений в свету - от потолка до пола</t>
        </r>
      </text>
    </comment>
  </commentList>
</comments>
</file>

<file path=xl/comments8.xml><?xml version="1.0" encoding="utf-8"?>
<comments xmlns="http://schemas.openxmlformats.org/spreadsheetml/2006/main">
  <authors>
    <author>Щелоков</author>
  </authors>
  <commentList>
    <comment ref="A17" authorId="0">
      <text>
        <r>
          <rPr>
            <b/>
            <sz val="9"/>
            <rFont val="Tahoma"/>
            <family val="2"/>
          </rPr>
          <t>Щелоков:</t>
        </r>
        <r>
          <rPr>
            <sz val="9"/>
            <rFont val="Tahoma"/>
            <family val="2"/>
          </rPr>
          <t xml:space="preserve">
Возможное направление расходов по этой статье - доплата за совмещение (вменение) обязанностей на основании приказа руководства учреждения  при условии достижения результатов эффективности мероприятий программы по итогам года</t>
        </r>
      </text>
    </comment>
  </commentList>
</comments>
</file>

<file path=xl/sharedStrings.xml><?xml version="1.0" encoding="utf-8"?>
<sst xmlns="http://schemas.openxmlformats.org/spreadsheetml/2006/main" count="591" uniqueCount="399">
  <si>
    <t xml:space="preserve">ОСОБЕННОСТИ РАЗРАБОТКИ ПРОГРАММ ПО ЭНЕРГОСБЕРЕЖЕНИЮ </t>
  </si>
  <si>
    <t>И ПОВЫШЕНИЮ ЭНЕРГОЭФФЕКТИВНОСТИ ДЛЯ БЮДЖЕТНЫХ ОРГАНИЗАЦИЙ.</t>
  </si>
  <si>
    <t xml:space="preserve">     Федеральным Законом №261 «Об энергосбережении и повышении энергоэффективности..» предусмотрены методы «Кнута и пряника» для потребителей топливно-энергетических ресурсов для их эффективного и рационального использования.</t>
  </si>
  <si>
    <t xml:space="preserve">     В статье 48 предусмотрено: «Организации с участием государства или муниципального образования … обязаны принять программы в области энергосбережения и повышения энергетической эффективности до 15 мая 2010 года». Кроме того, в Статье 37 определены финансовые санкции  за неисполнение законодательства: «Несоблюдение организациями с участием государства или муниципального образования … требования о принятии программ в области энергосбережения и повышения энергетической эффективности - влечет наложение административного штрафа на должностных лиц в размере от тридцати тысяч до пятидесяти тысяч рублей; на юридических лиц - от пятидесяти тысяч до ста тысяч рублей».</t>
  </si>
  <si>
    <t xml:space="preserve">     Вместе с тем, в Статье 24 отражено: «Экономия средств, достигнутая за счет дополнительного по сравнению с учтенным при планировании бюджетных ассигнований снижением потребления бюджетным учреждением … ресурсов, используется … в том числе на увеличение годового фонда оплаты труда…».</t>
  </si>
  <si>
    <t xml:space="preserve">     Большинство руководителей школ, детских садов, спортивных комплексов, больниц, поликлиник, музеев и театров не знают, как выполнить требования Российского Законодательства в части разработки программ энергосбережения. Основной проблемой в этом вопросе является отсутствие методики по разработке программ энергосбережения бюджетных учреждений. На данный момент имеются обязательные требования к содержанию программ, рекомендованы типовые мероприятия по экономии ТЭР, опубликованы методики расчёта экономической эффективности, однако отсутствуют четкие и понятные типовые формы для разработки программ энергосбережения бюджетных учреждений. </t>
  </si>
  <si>
    <t>ПЛАН РАЗРАБОТКИ ПРОГРАММЫ ЭНЕРГОСБЕРЕЖЕНИЯ</t>
  </si>
  <si>
    <t>БЮДЖЕТНОГО УЧРЕЖДЕНИЯ</t>
  </si>
  <si>
    <t>УТВЕРЖДАЮ</t>
  </si>
  <si>
    <t>Наименование бюджетного учреждения</t>
  </si>
  <si>
    <t>В ОБЛАСТИ ЭНЕРГОСБЕРЕЖЕНИЯ И ПОВЫШЕНИЯ ЭНЕРГЕТИЧЕСКОЙ ЭФФЕКТИВНОСТИ</t>
  </si>
  <si>
    <t>ПАСПОРТ</t>
  </si>
  <si>
    <t>программы энергосбережения и повышения энергетической эффективности</t>
  </si>
  <si>
    <t>Основание для разработки</t>
  </si>
  <si>
    <t xml:space="preserve">Закон Российской Федерации от 23 ноября 2009 года № 261-ФЗ «Об энергосбережении и повышении энергоэффективности».  </t>
  </si>
  <si>
    <t>Приказ Министерства регионального развития РФ от 17.02.2010 № 61 «Об утверждении примерного перечня мероприятий в области энергосбережения и повышения энергетической эффективности».</t>
  </si>
  <si>
    <t>Разработчик программы</t>
  </si>
  <si>
    <t>Цели и задачи</t>
  </si>
  <si>
    <t>- создание экономических и организационных условий для эффективного использования энергоресурсов;</t>
  </si>
  <si>
    <t>- сокращение расходов основных видов потребляемых энергетических ресурсов;</t>
  </si>
  <si>
    <t>- поддержание комфортного режима внутри здания для улучшения качества жизнедеятельности.</t>
  </si>
  <si>
    <t>- осуществить оценку фактических параметров энергоэффективности по объектам энергопотребления;</t>
  </si>
  <si>
    <t>- выполнить организационные и технические мероприятия по снижению  использования энергоресурсов.</t>
  </si>
  <si>
    <t>Срок реализации</t>
  </si>
  <si>
    <t>Перечень основных мероприятий</t>
  </si>
  <si>
    <t xml:space="preserve">- проведение энергетического обследования объекта с целью определения его энергоэффективности; </t>
  </si>
  <si>
    <t>- осуществление организационных мероприятий по контролю за расходом энергоресурсов и показателями энергоэффективности;</t>
  </si>
  <si>
    <t>- обучение ответственных  лиц  энергосберегающим методам и мероприятиям;</t>
  </si>
  <si>
    <t>- разработка практических мероприятий, направленных на снижение энергопотребления по всем видам топливно-энергетических ресурсов;</t>
  </si>
  <si>
    <t xml:space="preserve">- производство расчетов затрат на осуществление мероприятий и ожидаемой экономии от их внедрения;  </t>
  </si>
  <si>
    <t>- осуществление экономического расчета окупаемости мероприятий.</t>
  </si>
  <si>
    <t>Исполнитель</t>
  </si>
  <si>
    <t>Ожидаемые конечные результаты реализации</t>
  </si>
  <si>
    <t>В результате реализации программы возможно обеспечить:</t>
  </si>
  <si>
    <t xml:space="preserve">- ежегодное снижение потребления энергоресурсов не менее 3 % ежегодно и не менее 15% - за весь период реализации программы; </t>
  </si>
  <si>
    <t>- разработку энергетического паспорта бюджетного учреждения;</t>
  </si>
  <si>
    <t>- соответствие  санитарно-гигиенических требований к микроклимату зданий;</t>
  </si>
  <si>
    <t>- использование современного оборудования в системах всех видов топливных энергетических ресурсов.</t>
  </si>
  <si>
    <t>Объемы и источники финансирования</t>
  </si>
  <si>
    <t>Источники финансирования:</t>
  </si>
  <si>
    <r>
      <t xml:space="preserve">Основные </t>
    </r>
    <r>
      <rPr>
        <b/>
        <sz val="13"/>
        <color indexed="8"/>
        <rFont val="Calibri"/>
        <family val="2"/>
      </rPr>
      <t>цели</t>
    </r>
    <r>
      <rPr>
        <sz val="13"/>
        <color indexed="8"/>
        <rFont val="Calibri"/>
        <family val="2"/>
      </rPr>
      <t xml:space="preserve"> программы:</t>
    </r>
  </si>
  <si>
    <r>
      <t xml:space="preserve">Для достижения этих целей необходимо решить следующие основные </t>
    </r>
    <r>
      <rPr>
        <b/>
        <sz val="13"/>
        <color indexed="8"/>
        <rFont val="Calibri"/>
        <family val="2"/>
      </rPr>
      <t>задачи:</t>
    </r>
  </si>
  <si>
    <r>
      <t xml:space="preserve">На объекте бюджетного учреждения необходимо выполнить следующие </t>
    </r>
    <r>
      <rPr>
        <b/>
        <sz val="13"/>
        <color indexed="8"/>
        <rFont val="Calibri"/>
        <family val="2"/>
      </rPr>
      <t>мероприятия</t>
    </r>
    <r>
      <rPr>
        <sz val="13"/>
        <color indexed="8"/>
        <rFont val="Calibri"/>
        <family val="2"/>
      </rPr>
      <t>:</t>
    </r>
  </si>
  <si>
    <t>Таблица 1</t>
  </si>
  <si>
    <t>Источник финансирования и ресурсное обеспечение программы</t>
  </si>
  <si>
    <t>Всего в сумме, тыс. руб.</t>
  </si>
  <si>
    <t>2010 год:</t>
  </si>
  <si>
    <t>2012 год:</t>
  </si>
  <si>
    <t>2013 год:</t>
  </si>
  <si>
    <t>2014 год:</t>
  </si>
  <si>
    <t>Система контроля и управления программой</t>
  </si>
  <si>
    <t>Параметры, влияющие на энергосбережение и энергетическую эффективность</t>
  </si>
  <si>
    <t>Таблица 2</t>
  </si>
  <si>
    <t>Общая площадь объекта, кв.м</t>
  </si>
  <si>
    <t>Год постройки</t>
  </si>
  <si>
    <t>(в % от общего числа)</t>
  </si>
  <si>
    <t>-</t>
  </si>
  <si>
    <t>в автоматическом режиме</t>
  </si>
  <si>
    <t>в ручном режиме</t>
  </si>
  <si>
    <t>Наличие сотрудников, обученных в области энергосбережения и повышения энергетической эффективности, и сотрудников ответственных за проведение энергосберегающих мероприятий</t>
  </si>
  <si>
    <t>Таблица 3</t>
  </si>
  <si>
    <t>2009 год</t>
  </si>
  <si>
    <t>Гкал/кв.м.</t>
  </si>
  <si>
    <t>кВт.ч/чел</t>
  </si>
  <si>
    <t>куб.м/чел.</t>
  </si>
  <si>
    <t>Обогреваемый объем м3</t>
  </si>
  <si>
    <t xml:space="preserve">Обогреваемая площадь, м2                                                        </t>
  </si>
  <si>
    <t>Площадь стен, м2</t>
  </si>
  <si>
    <t>Площадь пола, м2</t>
  </si>
  <si>
    <t>Площадь крыши, м2</t>
  </si>
  <si>
    <t>Площадь окон, всего, м2</t>
  </si>
  <si>
    <t>кВт*ч/чел</t>
  </si>
  <si>
    <t>Система программных мероприятий и объёмы финансирования</t>
  </si>
  <si>
    <t>Таблица 4</t>
  </si>
  <si>
    <t>Наименование мероприятия</t>
  </si>
  <si>
    <t>Всего</t>
  </si>
  <si>
    <t>Итого по всем мероприятиям:</t>
  </si>
  <si>
    <t>Технические мероприятия</t>
  </si>
  <si>
    <t>Установка прибора учета ГВС</t>
  </si>
  <si>
    <t>Ремонт и уплотнение дверей</t>
  </si>
  <si>
    <t>Прочистка нагревательных приборов, промывка системы отопления</t>
  </si>
  <si>
    <t>Реконструкция т/узла, установка нового АТП</t>
  </si>
  <si>
    <t>Улучшение окон</t>
  </si>
  <si>
    <t>Установка посудомоечной машины</t>
  </si>
  <si>
    <t>Замена ламп накаливания на энергосберегающие</t>
  </si>
  <si>
    <t xml:space="preserve">Организационные мероприятия </t>
  </si>
  <si>
    <t>Назначение ответственного за проведение мероприятий повышения энергоэффективности</t>
  </si>
  <si>
    <t>Проведение обучения энергоменеджера</t>
  </si>
  <si>
    <t>Проведение энергетического обследования Объекта и составление энергетического паспорта</t>
  </si>
  <si>
    <t>Таблица 5</t>
  </si>
  <si>
    <t>Вид энергетического ресурса</t>
  </si>
  <si>
    <t>Ед. изм.</t>
  </si>
  <si>
    <t>Тепловая энергия</t>
  </si>
  <si>
    <t xml:space="preserve">Гкал </t>
  </si>
  <si>
    <t>тыс. руб.</t>
  </si>
  <si>
    <t>Гкал</t>
  </si>
  <si>
    <t>Электрическая энергия</t>
  </si>
  <si>
    <t>тыс.кВтч</t>
  </si>
  <si>
    <t>куб.м</t>
  </si>
  <si>
    <t>Экономия энергетических ресурсов в разрезе мероприятий программы</t>
  </si>
  <si>
    <t>Таблица 6</t>
  </si>
  <si>
    <t>Электроэнергия</t>
  </si>
  <si>
    <t>Индикатор</t>
  </si>
  <si>
    <t>тыс. кВт*ч</t>
  </si>
  <si>
    <t>тыс.кВт*ч</t>
  </si>
  <si>
    <t>Таблица 7</t>
  </si>
  <si>
    <t>№ п/п</t>
  </si>
  <si>
    <t>Наименование индикаторов цели программы</t>
  </si>
  <si>
    <t>Значения индикаторов целей программы</t>
  </si>
  <si>
    <t>в натуральном выражении</t>
  </si>
  <si>
    <t xml:space="preserve">в стоимостном выражении </t>
  </si>
  <si>
    <t>тыс.руб.</t>
  </si>
  <si>
    <t>в стоимостном выражении</t>
  </si>
  <si>
    <t>руб.</t>
  </si>
  <si>
    <t>тн</t>
  </si>
  <si>
    <t>Природный газ</t>
  </si>
  <si>
    <t>Мазут</t>
  </si>
  <si>
    <t>Водопотребление</t>
  </si>
  <si>
    <t xml:space="preserve">Электрическая энергия </t>
  </si>
  <si>
    <t>кВт*ч</t>
  </si>
  <si>
    <t xml:space="preserve"> Гкал</t>
  </si>
  <si>
    <t>Моторное топливо</t>
  </si>
  <si>
    <t>Каменный уголь</t>
  </si>
  <si>
    <t>Наименование энергоресурса</t>
  </si>
  <si>
    <t>Дефлятор стоимости продукции и услуг</t>
  </si>
  <si>
    <t>(в%, за год к предыдущему периоду)</t>
  </si>
  <si>
    <t>Производство, передача и распределение э/э, газа, пара и горячей воды</t>
  </si>
  <si>
    <t>Потребление электрической энергии:</t>
  </si>
  <si>
    <t xml:space="preserve">Удельный расход энергетических ресурсов </t>
  </si>
  <si>
    <t>Таблица 8</t>
  </si>
  <si>
    <t xml:space="preserve">Удельный расход тепловой энергии </t>
  </si>
  <si>
    <t>В расчете на 1 кв.м общей площади</t>
  </si>
  <si>
    <t>Удельный расход электрической энергии</t>
  </si>
  <si>
    <t>В расчете на 1 человека</t>
  </si>
  <si>
    <t>куб.м/чел</t>
  </si>
  <si>
    <t>Гкал/кв.м (тн, м3/кв.м)</t>
  </si>
  <si>
    <t>ОЦЕНКА ЭФФЕКТИВНОСТИ РЕАЛИЗАЦИИ ПРОГРАММЫ</t>
  </si>
  <si>
    <t xml:space="preserve">    Оценка эффективности реализации Программы в соответствии с принятыми удельными показателями осуществляется по итогам реализации Программы в отчетном году. Степень эффективности реализации мероприятий оценивается путем сопоставления фактически достигнутых удельных показателей с их прогнозными значениями, а также с учётом объёмов финансирования.
</t>
  </si>
  <si>
    <t xml:space="preserve">     Эффективность реализации Программы признается высокой при значении комплексного показателя эффективности реализации Программы 80 процентов и выше, при значении менее 80 процентов – низкой.</t>
  </si>
  <si>
    <t xml:space="preserve">    Если комплексный показатель эффективности реализации Программы составляет от 45 процентов до 79 процентов, Программа требует доработки и корректировки. При достижении комплексного показателя эффективности реализации Программы менее 45 процентов реализация Программы считается неэффективной.</t>
  </si>
  <si>
    <t>Е=</t>
  </si>
  <si>
    <t>тыс.руб.;</t>
  </si>
  <si>
    <t>Основные мероприятия, подлежащие включению в программы по энергосбережению и повышению энергетической эффективности.</t>
  </si>
  <si>
    <t>В помощь разработчику программ вышел приказ  министерства экономического развития Российской Федерации от 17 февраля 2010 г. № 61</t>
  </si>
  <si>
    <t>«Об утверждении примерного перечня мероприятий в области энергосбережения и повышения энергетической эффективности, который может быть использован в целях разработки региональных, муниципальных программ в области энергосбережения и повышения энергетической эффективности».</t>
  </si>
  <si>
    <t>Где перечислены следующие мероприятия подлежащие включению в программы по энергосбережению и повышению энергоэффективности в организациях с участием государства:</t>
  </si>
  <si>
    <t>1. Организационные мероприятия по энергосбережению:</t>
  </si>
  <si>
    <t>а) проведение энергетических обследований зданий, строений, сооружений, принадлежащим на праве собственности или ином законном основании организациям с участием государства, сбор и анализ информации об энергопотреблении зданий, строений, сооружений;</t>
  </si>
  <si>
    <t>б) разработка технико-экономических обоснований в целях внедрения энергосберегающих технологий для привлечения внебюджетного финансирования;</t>
  </si>
  <si>
    <t>в) содействие заключению энергосервисных договоров и привлечению частных инвестиций в целях их реализации;</t>
  </si>
  <si>
    <t>г) создание системы контроля и мониторинга за реализацией энергосервисных контрактов.</t>
  </si>
  <si>
    <t>2. Технические мероприятия по энергосбережению:</t>
  </si>
  <si>
    <t>а) оснащение зданий приборами учета используемых энергетических ресурсов;</t>
  </si>
  <si>
    <t>б) строительство зданий  в соответствии с установленными законодательством об энергосбережении и о повышении энергетической эффективности требованиями энергетической эффективности;</t>
  </si>
  <si>
    <t>в) повышение тепловой защиты зданий при капитальном ремонте, утепление зданий, строений, сооружений;</t>
  </si>
  <si>
    <t>г) перекладка электрических сетей для снижения потерь электрической энергии в зданиях;</t>
  </si>
  <si>
    <t>д) автоматизация потребления тепловой энергии зданиями;</t>
  </si>
  <si>
    <t>е) тепловая изоляция трубопроводов и оборудования, разводящих трубопроводов отопления и горячего водоснабжения в зданиях;</t>
  </si>
  <si>
    <t>ж) восстановление/внедрение циркуляционных систем в системах горячего водоснабжения зданий;</t>
  </si>
  <si>
    <t>з) проведение гидравлической регулировки, автоматической/ручной балансировки распределительных систем отопления и стояков в зданиях;</t>
  </si>
  <si>
    <t>и) установка частотного регулирования приводов насосов в системах горячего водоснабжения зданий;</t>
  </si>
  <si>
    <t>к) замена неэффективных отопительных котлов в индивидуальных системах отопления зданий;</t>
  </si>
  <si>
    <t>л) повышение энергетической эффективности систем освещения зданий;</t>
  </si>
  <si>
    <t>м) закупка энергопотребляющего оборудования высоких классов энергетической эффективности;</t>
  </si>
  <si>
    <t>н) внедрение частотно-регулируемого привода электродвигателей и оптимизация систем электродвигателей;</t>
  </si>
  <si>
    <t>о) внедрение эффективных систем сжатого воздуха зданий, строений, сооружений;</t>
  </si>
  <si>
    <t>п) внедрение систем эффективного пароснабжения зданий, строений, сооружений.</t>
  </si>
  <si>
    <t>Рекомендуемые мероприятия подлежащие к реализации в бюджетном учреждении:</t>
  </si>
  <si>
    <t>Часто режим работы вхолостую абсолютно бесполезен, т.к. не имеет никакого значения ни для готовности устройства к эксплуатации, ни для его функционирования.</t>
  </si>
  <si>
    <t>1. Назначение приказом ответственного за энергосбережение с добавлением в должностные инструкции соответствующих обязанностей;</t>
  </si>
  <si>
    <t>2. Подписание приказа, назначение ответственных за отключение электроустройств (освещение, местное кондиционирование, компьютеры и периферийные устройства) в не рабочее время или при отсутствии в помещении работников учреждения;</t>
  </si>
  <si>
    <t>3. Установка линейных балансировочных вентилей и балансировка системы отопления;</t>
  </si>
  <si>
    <r>
      <t>4.</t>
    </r>
    <r>
      <rPr>
        <sz val="7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Промывка трубопроводов и стояков системы отопления;</t>
    </r>
  </si>
  <si>
    <r>
      <t>5.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Ремонт изоляции трубопроводов системы отопления в подвальных и чердачных помещениях с применением энергоэффективных материалов;</t>
    </r>
  </si>
  <si>
    <r>
      <t>6.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Замена ламп накаливания  на энергоэффективные лампы;</t>
    </r>
  </si>
  <si>
    <r>
      <t>7.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Заделка, уплотнение и утепление дверных блоков на входе в здание и установка доводчиков;</t>
    </r>
  </si>
  <si>
    <r>
      <t>8.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Установка дверей и заслонок в проемах подвальных и чердачных помещений;</t>
    </r>
  </si>
  <si>
    <r>
      <t>9.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Заделка и уплотнение оконных блоков в помещениях здания;</t>
    </r>
  </si>
  <si>
    <t>10. Замена оконных рам на современные с повышенным термическим сопротивлением;</t>
  </si>
  <si>
    <r>
      <t>11.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Модернизация индивидуального теплового пункта ИТП с установкой и настройкой аппаратуры автоматического управления параметрами воды в системе отопления в зависимости от температуры наружного воздуха;</t>
    </r>
  </si>
  <si>
    <r>
      <t>12.</t>
    </r>
    <r>
      <rPr>
        <sz val="7"/>
        <color indexed="8"/>
        <rFont val="Calibri"/>
        <family val="2"/>
      </rPr>
      <t> </t>
    </r>
    <r>
      <rPr>
        <sz val="14"/>
        <color indexed="8"/>
        <rFont val="Calibri"/>
        <family val="2"/>
      </rPr>
      <t>Обеспечение рециркуляции воды в системе горячего водоснабжения;</t>
    </r>
  </si>
  <si>
    <r>
      <t>13.</t>
    </r>
    <r>
      <rPr>
        <sz val="7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Наружное утепление ограждающих конструкций здания.</t>
    </r>
  </si>
  <si>
    <t xml:space="preserve">     Например:</t>
  </si>
  <si>
    <t xml:space="preserve">     •  системный блок компьютера в ждущем режиме потребляет   – 15 Вт, что соответствует порядка 90 кВтчас/год;</t>
  </si>
  <si>
    <t xml:space="preserve">     •  активная акустическая система – 11 Вт;</t>
  </si>
  <si>
    <t xml:space="preserve">     •  копировальный аппарат в ждущем режиме – 30 Вт;</t>
  </si>
  <si>
    <t xml:space="preserve">     •  принтер в ждущем режиме – 6 Вт.</t>
  </si>
  <si>
    <t xml:space="preserve">Экономия от реализации мероприятий, </t>
  </si>
  <si>
    <t>направленных на решение основной задачи программы</t>
  </si>
  <si>
    <r>
      <t xml:space="preserve">- снижение ежегодных расходов бюджета на финансирование оплаты коммунальных услуг, потребляемых объектом, на сумму </t>
    </r>
  </si>
  <si>
    <t xml:space="preserve">Всего на реализацию мероприятий программы необходимо </t>
  </si>
  <si>
    <t xml:space="preserve"> тыс.руб. </t>
  </si>
  <si>
    <t>предусмотреть на период 2010-2014 годы</t>
  </si>
  <si>
    <t>Из них по категориям расходов, тыс. руб.:</t>
  </si>
  <si>
    <t xml:space="preserve"> тыс.руб;</t>
  </si>
  <si>
    <t>_______</t>
  </si>
  <si>
    <t>- Юридические лица на конкурсной основе.</t>
  </si>
  <si>
    <t>Примечания по заполнению форм</t>
  </si>
  <si>
    <t>Высота помещений в свету (средняя)</t>
  </si>
  <si>
    <r>
      <t xml:space="preserve">цветом - </t>
    </r>
    <r>
      <rPr>
        <sz val="13"/>
        <color indexed="10"/>
        <rFont val="Calibri"/>
        <family val="2"/>
      </rPr>
      <t>защищенные.</t>
    </r>
    <r>
      <rPr>
        <sz val="13"/>
        <color indexed="8"/>
        <rFont val="Calibri"/>
        <family val="2"/>
      </rPr>
      <t xml:space="preserve"> Корректировке не подлежат.</t>
    </r>
  </si>
  <si>
    <t>2010 год</t>
  </si>
  <si>
    <t>2011 год</t>
  </si>
  <si>
    <t>Тариф на электрическую энергию, руб/кВтч</t>
  </si>
  <si>
    <t>Тариф на тепловую энергию, руб/Гкал</t>
  </si>
  <si>
    <r>
      <t>цветом -</t>
    </r>
    <r>
      <rPr>
        <sz val="13"/>
        <color indexed="10"/>
        <rFont val="Calibri"/>
        <family val="2"/>
      </rPr>
      <t xml:space="preserve"> не</t>
    </r>
    <r>
      <rPr>
        <sz val="13"/>
        <color indexed="8"/>
        <rFont val="Calibri"/>
        <family val="2"/>
      </rPr>
      <t xml:space="preserve"> </t>
    </r>
    <r>
      <rPr>
        <sz val="13"/>
        <color indexed="10"/>
        <rFont val="Calibri"/>
        <family val="2"/>
      </rPr>
      <t>защищенные.</t>
    </r>
    <r>
      <rPr>
        <sz val="13"/>
        <color indexed="8"/>
        <rFont val="Calibri"/>
        <family val="2"/>
      </rPr>
      <t xml:space="preserve"> Подлежат корректировке и заполнению ответственными сотрудниками бюджетного учреждения.</t>
    </r>
  </si>
  <si>
    <t>2011 год:</t>
  </si>
  <si>
    <t>Удельное потребление энергоресурсов</t>
  </si>
  <si>
    <t xml:space="preserve"> 2009 год</t>
  </si>
  <si>
    <t>Древесное топливо</t>
  </si>
  <si>
    <t>ВСЕГО</t>
  </si>
  <si>
    <t xml:space="preserve">-       собственные (внебюджетные) средства </t>
  </si>
  <si>
    <t>-       средства муниципального бюджета</t>
  </si>
  <si>
    <t xml:space="preserve">-       средства областного бюджета </t>
  </si>
  <si>
    <t xml:space="preserve">собственные (внебюджетные) средства </t>
  </si>
  <si>
    <t>средства муниципального бюджета</t>
  </si>
  <si>
    <t xml:space="preserve">средства областного бюджета </t>
  </si>
  <si>
    <t>Тариф на услуги холодного водоснабжения, руб/куб.м</t>
  </si>
  <si>
    <t xml:space="preserve">Общая площадь учреждения, м2                                                        </t>
  </si>
  <si>
    <t>Потребление тепловой энергии:</t>
  </si>
  <si>
    <t>Тариф на услуги горячего водоснабжения, руб/куб.м</t>
  </si>
  <si>
    <t>холодное водоснабжение</t>
  </si>
  <si>
    <t>горячее водоснабжение</t>
  </si>
  <si>
    <t>Стоимость топлива</t>
  </si>
  <si>
    <t>тн/м2</t>
  </si>
  <si>
    <r>
      <rPr>
        <b/>
        <sz val="13"/>
        <color indexed="8"/>
        <rFont val="Calibri"/>
        <family val="2"/>
      </rPr>
      <t>1</t>
    </r>
    <r>
      <rPr>
        <sz val="13"/>
        <color indexed="8"/>
        <rFont val="Calibri"/>
        <family val="2"/>
      </rPr>
      <t>. Вкладки (ярлыки) выделенные:</t>
    </r>
  </si>
  <si>
    <r>
      <rPr>
        <b/>
        <sz val="13"/>
        <color indexed="8"/>
        <rFont val="Calibri"/>
        <family val="2"/>
      </rPr>
      <t>2</t>
    </r>
    <r>
      <rPr>
        <sz val="13"/>
        <color indexed="8"/>
        <rFont val="Calibri"/>
        <family val="2"/>
      </rPr>
      <t>. Ячейки в таблицах выделенные:</t>
    </r>
  </si>
  <si>
    <r>
      <rPr>
        <b/>
        <sz val="13"/>
        <color indexed="8"/>
        <rFont val="Calibri"/>
        <family val="2"/>
      </rPr>
      <t>3</t>
    </r>
    <r>
      <rPr>
        <sz val="13"/>
        <color indexed="8"/>
        <rFont val="Calibri"/>
        <family val="2"/>
      </rPr>
      <t>. При наличии нескольких зданий у бюджетного учреждения таблица 2 заполняется на каждое из них в отдельности;</t>
    </r>
  </si>
  <si>
    <r>
      <rPr>
        <b/>
        <sz val="13"/>
        <color indexed="8"/>
        <rFont val="Calibri"/>
        <family val="2"/>
      </rPr>
      <t>4</t>
    </r>
    <r>
      <rPr>
        <sz val="13"/>
        <color indexed="8"/>
        <rFont val="Calibri"/>
        <family val="2"/>
      </rPr>
      <t>. Помещения бюджетного учреждения, находящиеся в одном здании, независимо от их расположения (рядом или разнесено по этажам), считаются одним объектом, площадь помещений суммируется;</t>
    </r>
  </si>
  <si>
    <r>
      <rPr>
        <b/>
        <sz val="13"/>
        <color indexed="8"/>
        <rFont val="Calibri"/>
        <family val="2"/>
      </rPr>
      <t>5</t>
    </r>
    <r>
      <rPr>
        <sz val="13"/>
        <color indexed="8"/>
        <rFont val="Calibri"/>
        <family val="2"/>
      </rPr>
      <t>. Помещения бюджетного учреждения, находящиеся в разных зданиях, считаются разными объектами;</t>
    </r>
  </si>
  <si>
    <r>
      <rPr>
        <b/>
        <sz val="13"/>
        <color indexed="8"/>
        <rFont val="Calibri"/>
        <family val="2"/>
      </rPr>
      <t>6</t>
    </r>
    <r>
      <rPr>
        <sz val="13"/>
        <color indexed="8"/>
        <rFont val="Calibri"/>
        <family val="2"/>
      </rPr>
      <t>. Бюджетные учреждения, имеющие на своем балансе котельные заполняют таблицу 7, как по потреблению (экономии) тепловой энергии, так и по потреблению (экономии) энергетических ресурсов для выработки тепловой энергии;</t>
    </r>
  </si>
  <si>
    <r>
      <rPr>
        <b/>
        <sz val="13"/>
        <color indexed="8"/>
        <rFont val="Calibri"/>
        <family val="2"/>
      </rPr>
      <t>7</t>
    </r>
    <r>
      <rPr>
        <sz val="13"/>
        <color indexed="8"/>
        <rFont val="Calibri"/>
        <family val="2"/>
      </rPr>
      <t>. В случае отсутствия приборов учета энергетических ресурсов у учреждения таблица 3 заполняется на основании расчетных показателей;</t>
    </r>
  </si>
  <si>
    <t xml:space="preserve"> </t>
  </si>
  <si>
    <t xml:space="preserve"> ГУ АО "Няндомская райСББЖ"</t>
  </si>
  <si>
    <t>Ремонт печей</t>
  </si>
  <si>
    <t xml:space="preserve">                                                                                                                                                                              </t>
  </si>
  <si>
    <t>2015 год:</t>
  </si>
  <si>
    <t>2016 год:</t>
  </si>
  <si>
    <t>2017 год: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</si>
  <si>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</si>
  <si>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</si>
  <si>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</si>
  <si>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</si>
  <si>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</si>
  <si>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</si>
  <si>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</si>
  <si>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</si>
  <si>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</si>
  <si>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Вид потребляемого энергоресурса и величина потребления в базовом году</t>
  </si>
  <si>
    <t>Предполагаемая экономия энергетических ресурсов (в натуральном и денежном выражении)</t>
  </si>
  <si>
    <t>Численность на текущий год</t>
  </si>
  <si>
    <t>численность сотрудников, чел.</t>
  </si>
  <si>
    <t>численность  посетителей( детей), чел.</t>
  </si>
  <si>
    <t>Энергосберегающие окна, шт.</t>
  </si>
  <si>
    <t xml:space="preserve">Энергосберегающие лампы, шт. </t>
  </si>
  <si>
    <t>Капитальный ремонт, год</t>
  </si>
  <si>
    <t>Утепление фасада, год</t>
  </si>
  <si>
    <t>Возможность регулирования потребления тепловой энергии в помещениях Объекта, да/нет:</t>
  </si>
  <si>
    <t>Наличие датчиков движения, да/нет</t>
  </si>
  <si>
    <t>Светодиодные светильники аварийного освещения, да/нет</t>
  </si>
  <si>
    <t>Теплоизоляция трубопроводов отопления, полная/частичная, удовлетворительно/неудовлетворительно</t>
  </si>
  <si>
    <t>Состояние трубопроводов систем отопления, удовлетворительно/неудовлетворительно</t>
  </si>
  <si>
    <t>Состояние радиаторов систем отопления, удовлетворительно/неудовлетворительно</t>
  </si>
  <si>
    <t>Состояние системы электроснабжения, удовлетворительно/неудовлетворительно</t>
  </si>
  <si>
    <t>Наименование:</t>
  </si>
  <si>
    <t>Адрес:</t>
  </si>
  <si>
    <t>Состояние систем холодного водоснабжения, удовлетворительно/неудовлетворительно</t>
  </si>
  <si>
    <t>Состояние систем горячего водоснабжения, удовлетворительно/неудовлетворительно</t>
  </si>
  <si>
    <t>количество</t>
  </si>
  <si>
    <t>Водогрейные котлы</t>
  </si>
  <si>
    <t>мощность электродвигателей воздуходувных вентиляторов на котлах</t>
  </si>
  <si>
    <t>дата ввода в эксплуатацию (день, месяц, год)</t>
  </si>
  <si>
    <t>марка котлов</t>
  </si>
  <si>
    <t>установленная мощность</t>
  </si>
  <si>
    <t>Фундамент, тип</t>
  </si>
  <si>
    <t>Стены, тип</t>
  </si>
  <si>
    <t>площадь, кв.м</t>
  </si>
  <si>
    <t>Кровля, тип</t>
  </si>
  <si>
    <t>Приборы учета электрической энергии, марка</t>
  </si>
  <si>
    <t>Приборы учета тепловой энергии энергии, марка</t>
  </si>
  <si>
    <t>Приборы учета холодной воды, марка</t>
  </si>
  <si>
    <t>Приборы учета горячей воды, марка</t>
  </si>
  <si>
    <t>Приборы учета природного газа, марка</t>
  </si>
  <si>
    <t>Для собственных котельных</t>
  </si>
  <si>
    <t>Энергетическое обследование Объекта, проведено/не проведено</t>
  </si>
  <si>
    <t xml:space="preserve">Энергетический паспорт, номер </t>
  </si>
  <si>
    <t>колличество часов обучения</t>
  </si>
  <si>
    <t>номер и дата выданного документа о прохождении обучения</t>
  </si>
  <si>
    <r>
      <rPr>
        <b/>
        <sz val="13"/>
        <color indexed="8"/>
        <rFont val="Calibri"/>
        <family val="2"/>
      </rPr>
      <t>8.</t>
    </r>
    <r>
      <rPr>
        <sz val="13"/>
        <color indexed="8"/>
        <rFont val="Calibri"/>
        <family val="2"/>
      </rPr>
      <t xml:space="preserve"> В случае если учреждение имеет на своем балансе котельную, то вместо наличия приборов учета в таблице 2 указывается марка котлов и их установленная мощность.</t>
    </r>
  </si>
  <si>
    <r>
      <rPr>
        <b/>
        <sz val="13"/>
        <color indexed="8"/>
        <rFont val="Calibri"/>
        <family val="2"/>
      </rPr>
      <t>9</t>
    </r>
    <r>
      <rPr>
        <sz val="13"/>
        <color indexed="8"/>
        <rFont val="Calibri"/>
        <family val="2"/>
      </rPr>
      <t>. В случае если учреждение имеет на своем балансе скважину, то вместо наличия приборов учета в таблице 2 указывается марка насоса и его установленная мощность.</t>
    </r>
  </si>
  <si>
    <t>Для собственных скважин</t>
  </si>
  <si>
    <t>марка насоса</t>
  </si>
  <si>
    <r>
      <t>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/м</t>
    </r>
    <r>
      <rPr>
        <b/>
        <vertAlign val="superscript"/>
        <sz val="10"/>
        <color indexed="8"/>
        <rFont val="Calibri"/>
        <family val="2"/>
      </rPr>
      <t>2</t>
    </r>
  </si>
  <si>
    <r>
      <t>тн/м</t>
    </r>
    <r>
      <rPr>
        <b/>
        <vertAlign val="superscript"/>
        <sz val="10"/>
        <color indexed="8"/>
        <rFont val="Calibri"/>
        <family val="2"/>
      </rPr>
      <t>2</t>
    </r>
  </si>
  <si>
    <r>
      <t>тн, м</t>
    </r>
    <r>
      <rPr>
        <b/>
        <vertAlign val="superscript"/>
        <sz val="12"/>
        <color indexed="8"/>
        <rFont val="Calibri"/>
        <family val="2"/>
      </rPr>
      <t>3</t>
    </r>
  </si>
  <si>
    <t xml:space="preserve"> В расчете на 1 человека</t>
  </si>
  <si>
    <t xml:space="preserve">Ежеквартально, в срок до 10 числа месяца следующего за отчетным периодом представляется отчётность об итогах исполнения бюджетных средств и выполненных мероприятиях программы в бухгалтерию учреждения. </t>
  </si>
  <si>
    <t>Руководитель</t>
  </si>
  <si>
    <t>Учреждение</t>
  </si>
  <si>
    <t>ФИО</t>
  </si>
  <si>
    <t>"____" ________201_г.</t>
  </si>
  <si>
    <t>ПРОГРАММА (НАИМЕНОВАНИЕ БЮДЖЕТНОГО УЧРЕЖДЕНИЯ)</t>
  </si>
  <si>
    <t>(СРОКИ РЕАЛИЗАЦИИ ПРОГРАММЫ)</t>
  </si>
  <si>
    <t>Областной (муниципальный) заказчик</t>
  </si>
  <si>
    <t>Контроль за реализацией программы осуществляет (ФИО ответственного, телефон, e-mail):</t>
  </si>
  <si>
    <t>Контроль за исполнением программы</t>
  </si>
  <si>
    <t>л/100 км.</t>
  </si>
  <si>
    <t>л</t>
  </si>
  <si>
    <t>Удельный расход древесного топлива</t>
  </si>
  <si>
    <r>
      <t xml:space="preserve">Удельный расход </t>
    </r>
    <r>
      <rPr>
        <b/>
        <sz val="13"/>
        <rFont val="Calibri"/>
        <family val="2"/>
      </rPr>
      <t>каменного угля</t>
    </r>
  </si>
  <si>
    <t>Удельный расход горячей воды</t>
  </si>
  <si>
    <t>Удельный расход природного газа</t>
  </si>
  <si>
    <t>куб.м/м2</t>
  </si>
  <si>
    <t>Потребление холодной воды:</t>
  </si>
  <si>
    <t>Потребление древесного топлива</t>
  </si>
  <si>
    <t>Потребление природного газа</t>
  </si>
  <si>
    <t xml:space="preserve">Потребление горячей воды: </t>
  </si>
  <si>
    <t>Вода холодная</t>
  </si>
  <si>
    <t>Вода горячая</t>
  </si>
  <si>
    <t>Рост цен приобретения на уголь  энергетический</t>
  </si>
  <si>
    <t>Количественная и качественная характеристика Объекта  (на момент корректировки)</t>
  </si>
  <si>
    <t>X1*T1=Y1</t>
  </si>
  <si>
    <t>X2*T2=Y2</t>
  </si>
  <si>
    <t>X3*T3=Y3</t>
  </si>
  <si>
    <t>,где</t>
  </si>
  <si>
    <t>T1,2,3… - тарифы</t>
  </si>
  <si>
    <t>Y1,2,3…- оплата за потребленные ресурсы, руб.</t>
  </si>
  <si>
    <t>X1,2,3...- показания прибора учета, натуральные величины</t>
  </si>
  <si>
    <t>X1+X2+X3… - суммарное потребление ресурса по всем приборам учета (указывается по строке 8 в ячейках с натуральными величинами)</t>
  </si>
  <si>
    <t>Y1+Y2+Y3… - оплата за потребленные ресурсы, учитывающая разные тарифы, руб. (указывается по стороке 8 в ячейках с рублями)</t>
  </si>
  <si>
    <t>В случае применения нескольких тарифов на один вид ресурса в одном учреждении  данные по общему потреблению и оплате заносятся по следующей схеме:</t>
  </si>
  <si>
    <r>
      <rPr>
        <b/>
        <sz val="12"/>
        <color indexed="8"/>
        <rFont val="Calibri"/>
        <family val="2"/>
      </rPr>
      <t xml:space="preserve">Тарифы на энергетические ресурсы </t>
    </r>
    <r>
      <rPr>
        <b/>
        <sz val="12"/>
        <color indexed="10"/>
        <rFont val="Calibri"/>
        <family val="2"/>
      </rPr>
      <t xml:space="preserve"> (с учетом НДС)</t>
    </r>
  </si>
  <si>
    <t xml:space="preserve">Если программа по энергосбережению была разработана до проведения энергоаудита в учреждении, то те мероприятия, которые были включены в программу ранее - не удаляются. </t>
  </si>
  <si>
    <t>2010-2017 годы</t>
  </si>
  <si>
    <t>Ячейки столбцов 2018, 2019, 2020 г. нужно оставить пустыми (не вбивать никаких знаков)</t>
  </si>
  <si>
    <t xml:space="preserve">Сроки реализации программы следует изменить на "2010-2017" </t>
  </si>
  <si>
    <t xml:space="preserve">Таблица расчитывается по формулам. В ячейки ничего не забивать. </t>
  </si>
  <si>
    <t xml:space="preserve">     Таким образом, хотя бюджетным учреждениям и предложены серьёзные стимулы для разработки и реализации программ по энергосбережению, однако Президент РФ Дмитрий Медведев, выступая 26.10.2010 г. на заседании Комиссии по модернизации и технологическому развитию экономики России отметил: «Есть информация о том, что руководители бюджетных учреждений, директора школ, заведующие поликлиниками, детскими садами просто даже и не знают об этих нормах или, если и знают, то не верят, что эти нормы будут работать».</t>
  </si>
  <si>
    <r>
      <t xml:space="preserve">    </t>
    </r>
    <r>
      <rPr>
        <b/>
        <sz val="13"/>
        <color indexed="8"/>
        <rFont val="Calibri"/>
        <family val="2"/>
      </rPr>
      <t>1 этап</t>
    </r>
    <r>
      <rPr>
        <sz val="13"/>
        <color indexed="8"/>
        <rFont val="Calibri"/>
        <family val="2"/>
      </rPr>
      <t>: Выполняется обследование зданий и сооружений с целью выявления технических параметров зданий, влияющих на потребление энергетических ресурсов. Полученные данные заносятся в таблицу № 2.</t>
    </r>
  </si>
  <si>
    <r>
      <t xml:space="preserve">    </t>
    </r>
    <r>
      <rPr>
        <b/>
        <sz val="13"/>
        <color indexed="8"/>
        <rFont val="Calibri"/>
        <family val="2"/>
      </rPr>
      <t xml:space="preserve"> 2 этап</t>
    </r>
    <r>
      <rPr>
        <sz val="13"/>
        <color indexed="8"/>
        <rFont val="Calibri"/>
        <family val="2"/>
      </rPr>
      <t xml:space="preserve">: Собирается информация о потреблённых топливо-энергетичесих ресурсах за базовый 2009 год на основании показаний приборов учёта и бухгалтерских данных. </t>
    </r>
    <r>
      <rPr>
        <b/>
        <sz val="13"/>
        <color indexed="10"/>
        <rFont val="Calibri"/>
        <family val="2"/>
      </rPr>
      <t xml:space="preserve"> В этой версии Программы расчет за потребленные ресурсы в тысячах рублей считается без учета формул. </t>
    </r>
    <r>
      <rPr>
        <sz val="13"/>
        <color indexed="8"/>
        <rFont val="Calibri"/>
        <family val="2"/>
      </rPr>
      <t>Вам следует самостоятельно, с учетом всех имеющихся тарифов, расчитать величину потребления и стоимость за потребление ресурсов.  Полученные результаты заносятся в таблицу № 3.</t>
    </r>
  </si>
  <si>
    <r>
      <t xml:space="preserve">    </t>
    </r>
    <r>
      <rPr>
        <b/>
        <sz val="13"/>
        <color indexed="8"/>
        <rFont val="Calibri"/>
        <family val="2"/>
      </rPr>
      <t>4 этап</t>
    </r>
    <r>
      <rPr>
        <sz val="13"/>
        <color indexed="8"/>
        <rFont val="Calibri"/>
        <family val="2"/>
      </rPr>
      <t xml:space="preserve">:  Производится расчёт объема снижения по каждому энергетическому ресурсу с экономией 3% ежегодно и 15% к 2015 году от потребления энергоресурсов в 2009 г. Полученные данные сравниваются с экономической эффективностью намеченных организационных и технических мероприятий.  </t>
    </r>
    <r>
      <rPr>
        <b/>
        <sz val="13"/>
        <color indexed="10"/>
        <rFont val="Calibri"/>
        <family val="2"/>
      </rPr>
      <t>РАСЧЕТ АВТОМАТИЧЕСКИЙ.</t>
    </r>
  </si>
  <si>
    <r>
      <t xml:space="preserve">     </t>
    </r>
    <r>
      <rPr>
        <b/>
        <sz val="13"/>
        <color indexed="8"/>
        <rFont val="Calibri"/>
        <family val="2"/>
      </rPr>
      <t>3 этап</t>
    </r>
    <r>
      <rPr>
        <sz val="13"/>
        <color indexed="8"/>
        <rFont val="Calibri"/>
        <family val="2"/>
      </rPr>
      <t>: Анализируются данные обследования. Выявляются места нерационального использования ТЭР. Определяются энергосберегающие мероприятия, которые целесообразно применить на данном объекте. Производится расчёт потенциальных затрат и экономического эффекта от внедрения выбранных мероприятий. Рассчитывается простой срок окупаемости каждого мероприятия. Мероприятия с наименьшим сроком окупаемости, а также организационные мероприятия планируются к внедрению в первую очередь. Планирование внедрение мероприятий по годам осуществляется таким образом, чтобы экономический эффект от их внедрения был выше индикаторов на эти годы. По результатам экономических расчётов заполняются таблицы № 4 и № 5. Сводные данные планируемых капитальных вложений включаются в таблицу № 1</t>
    </r>
  </si>
  <si>
    <r>
      <t xml:space="preserve">     </t>
    </r>
    <r>
      <rPr>
        <b/>
        <sz val="13"/>
        <color indexed="8"/>
        <rFont val="Calibri"/>
        <family val="2"/>
      </rPr>
      <t>5 этап</t>
    </r>
    <r>
      <rPr>
        <sz val="13"/>
        <color indexed="8"/>
        <rFont val="Calibri"/>
        <family val="2"/>
      </rPr>
      <t xml:space="preserve">: Рассчитываются индикаторы и удельные показатели потребления энергетических ресурсов, значения включаются в таблицы № 7 и № 8. Сводные данные планируемых капитальных вложений включаются в таблицу № 1, Производится расчёт эффективности от реализации программы по всем мероприятиям и значения заносятся в таблицу № 8.  </t>
    </r>
    <r>
      <rPr>
        <b/>
        <sz val="13"/>
        <color indexed="10"/>
        <rFont val="Calibri"/>
        <family val="2"/>
      </rPr>
      <t>РАСЧЕТ АВТОМАТИЧЕСКИЙ.</t>
    </r>
  </si>
  <si>
    <r>
      <t xml:space="preserve">    6 этап: </t>
    </r>
    <r>
      <rPr>
        <sz val="12"/>
        <color indexed="8"/>
        <rFont val="Calibri"/>
        <family val="2"/>
      </rPr>
      <t>Оформляется паспорт программы.</t>
    </r>
  </si>
  <si>
    <t>цветом заполняются бюджетными учреждениями самостоятельно:                           - базовые показатели 2009 года не подлежат корректировке;                                             - тарифы - корректируются ежегодно</t>
  </si>
  <si>
    <t>цветом заполняются бюджетными учреждениями самостоятельно по итогам проведения энергетического аудита и подлежат корректировке</t>
  </si>
  <si>
    <t xml:space="preserve">цветом расчитываются на основе формул. </t>
  </si>
  <si>
    <r>
      <t xml:space="preserve">Для учреждений, созданных после 31.12.2009 года, дата создания:  </t>
    </r>
    <r>
      <rPr>
        <sz val="18"/>
        <rFont val="Calibri"/>
        <family val="2"/>
      </rPr>
      <t>д. м. г.</t>
    </r>
  </si>
  <si>
    <t>Обогреваемая площадь объекта, кв.м</t>
  </si>
  <si>
    <t>Обогреваемый объем объекта, м.куб.</t>
  </si>
  <si>
    <t>Площадь пола,  кв.м</t>
  </si>
  <si>
    <t>Площадь окон, всего, кв.м</t>
  </si>
  <si>
    <t xml:space="preserve"> Численность сотрудников, чел.</t>
  </si>
  <si>
    <t xml:space="preserve">Численность  посетителей (детей), чел.  </t>
  </si>
  <si>
    <t xml:space="preserve">Общие данные по учреждению </t>
  </si>
  <si>
    <r>
      <t xml:space="preserve">Текущий год </t>
    </r>
    <r>
      <rPr>
        <b/>
        <sz val="10"/>
        <color indexed="10"/>
        <rFont val="Calibri"/>
        <family val="2"/>
      </rPr>
      <t>(корректируется ежегодно)</t>
    </r>
  </si>
  <si>
    <r>
      <t xml:space="preserve">Базовый год       </t>
    </r>
    <r>
      <rPr>
        <b/>
        <sz val="9"/>
        <color indexed="10"/>
        <rFont val="Calibri"/>
        <family val="2"/>
      </rPr>
      <t>(не корректируется)</t>
    </r>
  </si>
  <si>
    <t xml:space="preserve">За базовый год, в таких учреждениях, берется полный финансовый год. Например, организация зарегистрирована в марте 2010 года. Базовый год - 2011. </t>
  </si>
  <si>
    <t xml:space="preserve">Показатели численности сотрудников и посетителей (детей) (графы 23 и 24):     </t>
  </si>
  <si>
    <t>для школ - сотрудники (преподаватели и обслуживающий персонал) и обучающиеся;</t>
  </si>
  <si>
    <r>
      <t xml:space="preserve">для детских домов, домов престарелых, детских садов - </t>
    </r>
    <r>
      <rPr>
        <b/>
        <u val="double"/>
        <sz val="14"/>
        <color indexed="8"/>
        <rFont val="Calibri"/>
        <family val="2"/>
      </rPr>
      <t>только</t>
    </r>
    <r>
      <rPr>
        <sz val="14"/>
        <color indexed="8"/>
        <rFont val="Calibri"/>
        <family val="2"/>
      </rPr>
      <t xml:space="preserve"> проживающие или дети (численность сотрудников - 0 (ноль);   </t>
    </r>
  </si>
  <si>
    <t xml:space="preserve">для больниц - койко-место (без персонала), численность персонала - 0 (ноль);  </t>
  </si>
  <si>
    <t>для поликлиник - персонал в смену и посетители в смену</t>
  </si>
  <si>
    <t>для всех остальных категорий учреждений численность сотрудников и численность посетителей</t>
  </si>
  <si>
    <t>Предполагаемая экономия рассчитывается энергоаудиторами при проведении энергоаудита и указвыается в энергетическом паспорте или отчете о проведении энергетического обследования (смотри приложения 20 и 21 Энергетического паспорта).</t>
  </si>
  <si>
    <t xml:space="preserve">1. Наведите курсор на красный треугольник в верхнем правом углу и ознакомьтесь с информацией. Здесь приведены примеры показателей, участвующие в расчетах формулы оценки эффективности. </t>
  </si>
  <si>
    <t>Целевые показатели реализации программы</t>
  </si>
  <si>
    <t>Потребление каменного уголя для выработки тепловой энергии:</t>
  </si>
  <si>
    <t>Удельный расход холодной воды</t>
  </si>
  <si>
    <t>, где</t>
  </si>
  <si>
    <t>ФП - фактическое потребление</t>
  </si>
  <si>
    <t>ФО - фактическая оплата</t>
  </si>
  <si>
    <t>Например, у Вас в учреждении потребление:</t>
  </si>
  <si>
    <t xml:space="preserve">Если в Вашем учреждении нет каких-либо ресурсов, то ячейки по строке 8 под этим видом ресурса не заполняются (пример, Моторное топливо). </t>
  </si>
  <si>
    <t>Объемы финансирования, необходиме для реализации программы</t>
  </si>
  <si>
    <t>Наименование мероприятий в ячейках заменяется с учётом Ваших мероприятий, проведённых в 2010, 2011 годах, а также предложенных энергоаудитором по результатам энергетического обследования учреждения. При добавлении строк следите за тем, чтобы формулы не "сбились".</t>
  </si>
  <si>
    <t>Объемы финансирования по годам (средства на реализацию мероприятий предусмотрены в рамках текущего финансирования), тыс.руб.</t>
  </si>
  <si>
    <t>за 2012 год</t>
  </si>
  <si>
    <t xml:space="preserve">ФП/Табл.7!G7+ФО/Табл.7!G8 </t>
  </si>
  <si>
    <t>ФП/Табл.7!G10+ФО/Табл.7!G11</t>
  </si>
  <si>
    <t>ФП/Табл.7!G16+ФО/Табл.7!G17</t>
  </si>
  <si>
    <t>ФП/Табл.7!G19+ФО/Табл.7!G20</t>
  </si>
  <si>
    <t>ФП/Табл.7!G13+ФО/Табл.7!G14</t>
  </si>
  <si>
    <t>ФП/Табл.7!G22+ФО/Табл.7!G23</t>
  </si>
  <si>
    <t>ФП/Табл.7!G25+ФО/Табл.7!G26</t>
  </si>
  <si>
    <t>электрическая энергия, тепловая энергия, каменный уголь (для выработки тепловой энергии): (35/Табл.7!G7+180/Табл.7!G8 + 450/Табл.7!G10+700/Табл.7!G11 + ФП/Табл.7!G13+ФО/Табл.7!G14)</t>
  </si>
  <si>
    <t>электрическая энергия, тепловая энергия, природный газ (котельная учреждения для выработки тепловой энергии): ФП/Табл.7!G7+ФО/Табл.7!G8 + ФП/Табл.7!G10+ФО/Табл.7!G11 + ФП/Табл.7!G25+ФО/Табл.7!G26</t>
  </si>
  <si>
    <t>электрическая энергия: (35/Табл.7!G7+180/Табл.7!G8 )</t>
  </si>
  <si>
    <t>2. При ежегодной корректировке по итогам финансового года (например, в 2013 г. корректировка проводится за 2012 год) берутся данные прошедшего (отчетного) года.</t>
  </si>
  <si>
    <t>В строке формул (под пиктограммами) занесена формула оценки эффективности реализации Вашей программы. Чтобы увидеть и скорректировать эту формулу Вам следует обозначить ячейку В6. Далее:</t>
  </si>
  <si>
    <t xml:space="preserve">3. Количество целевых показателей для Вашего учреждения определяется с учетом потребляемых ресурсов. 1 вид ресурса - два целевых показателя.  В табл. № 7 отображено 7 индикаторов целей программы. В каждом индикаторе по 2 целевых показателя: целевой показатель в натуральном выражении и целевой показатель в денежном выражении. </t>
  </si>
  <si>
    <t>4. Сумма показателей во втором множителе формулы варьируется с учетом потребляемых ресурсов в учреждении (возможен вариант копирования составной части в общую формулу, но если формула "сбивается", то следует нажать кнопку Esc  и занести составные части в строке формул вручную):</t>
  </si>
  <si>
    <t>электрическая энергия, дрова, холодная вода: (35/Табл.7!G7+180/Табл.7!G8 + ФП/Табл.7!G22+ФО/Табл.7!G23 + 1867/Табл.7!G16+166,368/Табл.7!G17)</t>
  </si>
  <si>
    <r>
      <t xml:space="preserve">     Общая оценка эффективности реализации Программы определяется по следующей формуле: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 – комплексный показатель эффективности реализации Программы, %;                                 
                                                                                                                                                                                                                                                                                                                        Fплан – плановое финансирование мероприятий Программы на начало отчетного года, тыс. руб. </t>
    </r>
    <r>
      <rPr>
        <sz val="13"/>
        <rFont val="Calibri"/>
        <family val="2"/>
      </rPr>
      <t xml:space="preserve">(берется </t>
    </r>
    <r>
      <rPr>
        <u val="double"/>
        <sz val="13"/>
        <rFont val="Calibri"/>
        <family val="2"/>
      </rPr>
      <t>до корректировки</t>
    </r>
    <r>
      <rPr>
        <sz val="13"/>
        <rFont val="Calibri"/>
        <family val="2"/>
      </rPr>
      <t xml:space="preserve"> программы за отчетный год в табл. № 4 "Итого по всем мероприятиям"</t>
    </r>
    <r>
      <rPr>
        <sz val="13"/>
        <color indexed="8"/>
        <rFont val="Calibri"/>
        <family val="2"/>
      </rPr>
      <t xml:space="preserve">;
                                                                                                                                                                                                                                                                                                                          Fфакт – фактическое финансирование мероприятий Программы на конец отчетного года, тыс. руб. (берется </t>
    </r>
    <r>
      <rPr>
        <u val="double"/>
        <sz val="13"/>
        <color indexed="8"/>
        <rFont val="Calibri"/>
        <family val="2"/>
      </rPr>
      <t>после корректировки</t>
    </r>
    <r>
      <rPr>
        <sz val="13"/>
        <color indexed="8"/>
        <rFont val="Calibri"/>
        <family val="2"/>
      </rPr>
      <t xml:space="preserve"> программы за отчетный год в табл. № 4 "Итого по всем мероприятиям";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 факт – фактическое значение  i-го  показателя, достигнутое  в  ходе реализации Программы;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 план – плановое (прогнозное) значение i-го показателя, утвержденное Программой.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– количество целевых показателей Программы.
</t>
    </r>
  </si>
  <si>
    <t>Корректировка программы:</t>
  </si>
  <si>
    <r>
      <rPr>
        <u val="double"/>
        <sz val="12"/>
        <color indexed="8"/>
        <rFont val="Calibri"/>
        <family val="2"/>
      </rPr>
      <t>Внеплановая:</t>
    </r>
    <r>
      <rPr>
        <sz val="12"/>
        <color indexed="8"/>
        <rFont val="Calibri"/>
        <family val="2"/>
      </rPr>
      <t xml:space="preserve"> корректируется в связи с внесением изменений в середине года по финансированию или реализации вновь намеченных мероприятий.</t>
    </r>
  </si>
  <si>
    <r>
      <rPr>
        <u val="double"/>
        <sz val="12"/>
        <rFont val="Calibri"/>
        <family val="2"/>
      </rPr>
      <t>Плановая:</t>
    </r>
    <r>
      <rPr>
        <sz val="12"/>
        <rFont val="Calibri"/>
        <family val="2"/>
      </rPr>
      <t xml:space="preserve"> корректируется регулярно по итогам прошедшего финансового года (январь-февраль следующего года за отчетным);</t>
    </r>
  </si>
  <si>
    <t xml:space="preserve"> ГУ АО "Няндомская райСББЖ" </t>
  </si>
  <si>
    <t>2</t>
  </si>
  <si>
    <t>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</si>
</sst>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  <numFmt numFmtId="168" formatCode="0.00000"/>
    <numFmt numFmtId="169" formatCode="#,##0.00_р_."/>
    <numFmt numFmtId="170" formatCode="#,##0_р_."/>
    <numFmt numFmtId="171" formatCode="0.00000000"/>
    <numFmt numFmtId="172" formatCode="0.0000000"/>
    <numFmt numFmtId="173" formatCode="0.000000"/>
    <numFmt numFmtId="174" formatCode="0.0%"/>
    <numFmt numFmtId="175" formatCode="[$-FC19]d\ mmmm\ yyyy\ &quot;г.&quot;"/>
    <numFmt numFmtId="176" formatCode="#,##0.00&quot;р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3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3"/>
      <color indexed="62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1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u val="double"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3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1"/>
      <color indexed="8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sz val="18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double"/>
      <sz val="13"/>
      <name val="Calibri"/>
      <family val="2"/>
    </font>
    <font>
      <u val="double"/>
      <sz val="13"/>
      <color indexed="8"/>
      <name val="Calibri"/>
      <family val="2"/>
    </font>
    <font>
      <u val="double"/>
      <sz val="12"/>
      <name val="Calibri"/>
      <family val="2"/>
    </font>
    <font>
      <u val="doub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8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0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" fontId="18" fillId="33" borderId="0" xfId="0" applyNumberFormat="1" applyFont="1" applyFill="1" applyBorder="1" applyAlignment="1">
      <alignment vertical="center" wrapText="1"/>
    </xf>
    <xf numFmtId="4" fontId="19" fillId="33" borderId="15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Alignment="1">
      <alignment vertical="top" wrapText="1"/>
    </xf>
    <xf numFmtId="49" fontId="3" fillId="35" borderId="0" xfId="0" applyNumberFormat="1" applyFont="1" applyFill="1" applyAlignment="1">
      <alignment vertical="top" wrapText="1"/>
    </xf>
    <xf numFmtId="4" fontId="4" fillId="33" borderId="17" xfId="0" applyNumberFormat="1" applyFont="1" applyFill="1" applyBorder="1" applyAlignment="1">
      <alignment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/>
    </xf>
    <xf numFmtId="4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4" fontId="16" fillId="35" borderId="0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5" fontId="2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166" fontId="2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166" fontId="7" fillId="35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0" fillId="0" borderId="11" xfId="0" applyFont="1" applyFill="1" applyBorder="1" applyAlignment="1">
      <alignment horizontal="center" vertical="center" wrapText="1"/>
    </xf>
    <xf numFmtId="1" fontId="33" fillId="0" borderId="0" xfId="53" applyNumberFormat="1" applyFont="1" applyFill="1" applyBorder="1" applyAlignment="1">
      <alignment vertical="center" wrapText="1"/>
      <protection/>
    </xf>
    <xf numFmtId="174" fontId="32" fillId="0" borderId="0" xfId="58" applyNumberFormat="1" applyFont="1" applyFill="1" applyBorder="1" applyAlignment="1">
      <alignment vertical="center"/>
    </xf>
    <xf numFmtId="174" fontId="32" fillId="0" borderId="0" xfId="58" applyNumberFormat="1" applyFont="1" applyFill="1" applyBorder="1" applyAlignment="1">
      <alignment vertical="center" wrapText="1"/>
    </xf>
    <xf numFmtId="174" fontId="32" fillId="0" borderId="0" xfId="58" applyNumberFormat="1" applyFont="1" applyFill="1" applyBorder="1" applyAlignment="1">
      <alignment vertical="center"/>
    </xf>
    <xf numFmtId="174" fontId="32" fillId="0" borderId="0" xfId="58" applyNumberFormat="1" applyFont="1" applyFill="1" applyBorder="1" applyAlignment="1">
      <alignment horizontal="center" vertical="center"/>
    </xf>
    <xf numFmtId="1" fontId="31" fillId="0" borderId="0" xfId="53" applyNumberFormat="1" applyFont="1" applyFill="1" applyBorder="1" applyAlignment="1">
      <alignment vertical="center" wrapText="1"/>
      <protection/>
    </xf>
    <xf numFmtId="0" fontId="32" fillId="0" borderId="11" xfId="58" applyNumberFormat="1" applyFont="1" applyFill="1" applyBorder="1" applyAlignment="1">
      <alignment horizontal="center" vertical="center"/>
    </xf>
    <xf numFmtId="2" fontId="32" fillId="0" borderId="11" xfId="58" applyNumberFormat="1" applyFont="1" applyFill="1" applyBorder="1" applyAlignment="1">
      <alignment horizontal="center" vertical="center"/>
    </xf>
    <xf numFmtId="2" fontId="32" fillId="0" borderId="11" xfId="58" applyNumberFormat="1" applyFont="1" applyFill="1" applyBorder="1" applyAlignment="1">
      <alignment horizontal="center" vertical="center"/>
    </xf>
    <xf numFmtId="2" fontId="32" fillId="0" borderId="11" xfId="58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 vertical="center"/>
    </xf>
    <xf numFmtId="2" fontId="91" fillId="0" borderId="11" xfId="0" applyNumberFormat="1" applyFont="1" applyBorder="1" applyAlignment="1">
      <alignment horizontal="center" vertical="center"/>
    </xf>
    <xf numFmtId="0" fontId="34" fillId="0" borderId="0" xfId="53" applyFont="1" applyFill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 vertical="center"/>
      <protection/>
    </xf>
    <xf numFmtId="169" fontId="92" fillId="37" borderId="11" xfId="0" applyNumberFormat="1" applyFont="1" applyFill="1" applyBorder="1" applyAlignment="1">
      <alignment horizontal="center" vertical="center" wrapText="1"/>
    </xf>
    <xf numFmtId="170" fontId="0" fillId="37" borderId="11" xfId="0" applyNumberFormat="1" applyFont="1" applyFill="1" applyBorder="1" applyAlignment="1">
      <alignment horizontal="center" vertical="center"/>
    </xf>
    <xf numFmtId="3" fontId="0" fillId="37" borderId="11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93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center"/>
    </xf>
    <xf numFmtId="0" fontId="79" fillId="0" borderId="18" xfId="0" applyFont="1" applyBorder="1" applyAlignment="1">
      <alignment vertical="center"/>
    </xf>
    <xf numFmtId="169" fontId="0" fillId="37" borderId="11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Alignment="1">
      <alignment vertical="top" wrapText="1"/>
    </xf>
    <xf numFmtId="49" fontId="16" fillId="38" borderId="0" xfId="0" applyNumberFormat="1" applyFont="1" applyFill="1" applyAlignment="1">
      <alignment vertical="top" wrapText="1"/>
    </xf>
    <xf numFmtId="0" fontId="6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39" fontId="3" fillId="35" borderId="17" xfId="0" applyNumberFormat="1" applyFont="1" applyFill="1" applyBorder="1" applyAlignment="1" applyProtection="1">
      <alignment horizontal="right" vertical="center"/>
      <protection locked="0"/>
    </xf>
    <xf numFmtId="39" fontId="4" fillId="33" borderId="0" xfId="0" applyNumberFormat="1" applyFont="1" applyFill="1" applyAlignment="1" applyProtection="1">
      <alignment horizontal="right"/>
      <protection locked="0"/>
    </xf>
    <xf numFmtId="39" fontId="4" fillId="36" borderId="0" xfId="0" applyNumberFormat="1" applyFont="1" applyFill="1" applyAlignment="1" applyProtection="1">
      <alignment horizontal="right"/>
      <protection locked="0"/>
    </xf>
    <xf numFmtId="39" fontId="3" fillId="35" borderId="19" xfId="0" applyNumberFormat="1" applyFont="1" applyFill="1" applyBorder="1" applyAlignment="1" applyProtection="1">
      <alignment horizontal="right" vertical="center"/>
      <protection locked="0"/>
    </xf>
    <xf numFmtId="39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Alignment="1">
      <alignment horizontal="center"/>
    </xf>
    <xf numFmtId="9" fontId="21" fillId="0" borderId="0" xfId="58" applyNumberFormat="1" applyFont="1" applyFill="1" applyAlignment="1">
      <alignment vertical="center" wrapText="1"/>
    </xf>
    <xf numFmtId="0" fontId="32" fillId="0" borderId="17" xfId="58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9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5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90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95" fillId="0" borderId="16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6" borderId="16" xfId="0" applyNumberFormat="1" applyFont="1" applyFill="1" applyBorder="1" applyAlignment="1">
      <alignment horizontal="center" vertical="center" wrapText="1"/>
    </xf>
    <xf numFmtId="2" fontId="0" fillId="36" borderId="17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" fontId="31" fillId="0" borderId="11" xfId="53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9" fontId="21" fillId="35" borderId="0" xfId="58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ondition-2030-ит-Нах EN-INN-1(14 дек 1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352425</xdr:rowOff>
    </xdr:from>
    <xdr:to>
      <xdr:col>9</xdr:col>
      <xdr:colOff>257175</xdr:colOff>
      <xdr:row>4</xdr:row>
      <xdr:rowOff>1047750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00300" y="2057400"/>
          <a:ext cx="3476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0" zoomScaleSheetLayoutView="110" zoomScalePageLayoutView="0" workbookViewId="0" topLeftCell="A7">
      <selection activeCell="A5" sqref="A5:I5"/>
    </sheetView>
  </sheetViews>
  <sheetFormatPr defaultColWidth="9.140625" defaultRowHeight="15"/>
  <cols>
    <col min="1" max="8" width="9.140625" style="1" customWidth="1"/>
    <col min="9" max="9" width="81.8515625" style="1" customWidth="1"/>
    <col min="10" max="16384" width="9.140625" style="1" customWidth="1"/>
  </cols>
  <sheetData>
    <row r="1" spans="1:9" ht="17.25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ht="17.25">
      <c r="A2" s="160" t="s">
        <v>1</v>
      </c>
      <c r="B2" s="160"/>
      <c r="C2" s="160"/>
      <c r="D2" s="160"/>
      <c r="E2" s="160"/>
      <c r="F2" s="160"/>
      <c r="G2" s="160"/>
      <c r="H2" s="160"/>
      <c r="I2" s="160"/>
    </row>
    <row r="3" spans="1:9" ht="17.25">
      <c r="A3" s="49"/>
      <c r="B3" s="49"/>
      <c r="C3" s="49"/>
      <c r="D3" s="49"/>
      <c r="E3" s="49"/>
      <c r="F3" s="49"/>
      <c r="G3" s="49"/>
      <c r="H3" s="49"/>
      <c r="I3" s="49"/>
    </row>
    <row r="4" spans="1:9" ht="71.25" customHeight="1">
      <c r="A4" s="162" t="s">
        <v>2</v>
      </c>
      <c r="B4" s="162"/>
      <c r="C4" s="162"/>
      <c r="D4" s="162"/>
      <c r="E4" s="162"/>
      <c r="F4" s="162"/>
      <c r="G4" s="162"/>
      <c r="H4" s="162"/>
      <c r="I4" s="162"/>
    </row>
    <row r="5" spans="1:9" ht="180.75" customHeight="1">
      <c r="A5" s="159" t="s">
        <v>3</v>
      </c>
      <c r="B5" s="159"/>
      <c r="C5" s="159"/>
      <c r="D5" s="159"/>
      <c r="E5" s="159"/>
      <c r="F5" s="159"/>
      <c r="G5" s="159"/>
      <c r="H5" s="159"/>
      <c r="I5" s="159"/>
    </row>
    <row r="6" spans="1:9" ht="86.25" customHeight="1">
      <c r="A6" s="159" t="s">
        <v>4</v>
      </c>
      <c r="B6" s="159"/>
      <c r="C6" s="159"/>
      <c r="D6" s="159"/>
      <c r="E6" s="159"/>
      <c r="F6" s="159"/>
      <c r="G6" s="159"/>
      <c r="H6" s="159"/>
      <c r="I6" s="159"/>
    </row>
    <row r="7" spans="1:9" ht="150" customHeight="1">
      <c r="A7" s="161" t="s">
        <v>336</v>
      </c>
      <c r="B7" s="161"/>
      <c r="C7" s="161"/>
      <c r="D7" s="161"/>
      <c r="E7" s="161"/>
      <c r="F7" s="161"/>
      <c r="G7" s="161"/>
      <c r="H7" s="161"/>
      <c r="I7" s="161"/>
    </row>
    <row r="8" spans="1:9" ht="171" customHeight="1">
      <c r="A8" s="159" t="s">
        <v>5</v>
      </c>
      <c r="B8" s="159"/>
      <c r="C8" s="159"/>
      <c r="D8" s="159"/>
      <c r="E8" s="159"/>
      <c r="F8" s="159"/>
      <c r="G8" s="159"/>
      <c r="H8" s="159"/>
      <c r="I8" s="159"/>
    </row>
  </sheetData>
  <sheetProtection/>
  <mergeCells count="7">
    <mergeCell ref="A8:I8"/>
    <mergeCell ref="A1:I1"/>
    <mergeCell ref="A2:I2"/>
    <mergeCell ref="A6:I6"/>
    <mergeCell ref="A5:I5"/>
    <mergeCell ref="A7:I7"/>
    <mergeCell ref="A4:I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O27"/>
  <sheetViews>
    <sheetView view="pageBreakPreview" zoomScale="90" zoomScaleSheetLayoutView="90" zoomScalePageLayoutView="0" workbookViewId="0" topLeftCell="A4">
      <selection activeCell="I14" sqref="I14"/>
    </sheetView>
  </sheetViews>
  <sheetFormatPr defaultColWidth="9.140625" defaultRowHeight="15"/>
  <cols>
    <col min="1" max="1" width="16.00390625" style="1" customWidth="1"/>
    <col min="2" max="2" width="13.7109375" style="1" customWidth="1"/>
    <col min="3" max="3" width="8.57421875" style="1" customWidth="1"/>
    <col min="4" max="4" width="9.00390625" style="1" customWidth="1"/>
    <col min="5" max="8" width="9.140625" style="1" customWidth="1"/>
    <col min="9" max="9" width="11.8515625" style="1" bestFit="1" customWidth="1"/>
    <col min="10" max="10" width="9.140625" style="1" customWidth="1"/>
    <col min="11" max="11" width="10.140625" style="1" bestFit="1" customWidth="1"/>
    <col min="12" max="14" width="9.140625" style="1" customWidth="1"/>
    <col min="15" max="15" width="11.00390625" style="1" customWidth="1"/>
    <col min="16" max="16384" width="9.140625" style="1" customWidth="1"/>
  </cols>
  <sheetData>
    <row r="1" spans="1:15" ht="18.75">
      <c r="A1" s="203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5.75">
      <c r="A2" s="20"/>
      <c r="B2" s="20"/>
      <c r="C2" s="20"/>
      <c r="D2" s="273" t="s">
        <v>335</v>
      </c>
      <c r="E2" s="273"/>
      <c r="F2" s="273"/>
      <c r="G2" s="273"/>
      <c r="H2" s="273"/>
      <c r="I2" s="273"/>
      <c r="J2" s="273"/>
      <c r="K2" s="273"/>
      <c r="L2" s="20"/>
      <c r="M2" s="20"/>
      <c r="N2" s="20"/>
      <c r="O2" s="20"/>
    </row>
    <row r="3" ht="15.75">
      <c r="O3" s="100" t="s">
        <v>100</v>
      </c>
    </row>
    <row r="4" spans="1:15" ht="46.5" customHeight="1">
      <c r="A4" s="256" t="s">
        <v>74</v>
      </c>
      <c r="B4" s="256" t="s">
        <v>248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15.75">
      <c r="A5" s="256"/>
      <c r="B5" s="256" t="s">
        <v>91</v>
      </c>
      <c r="C5" s="256"/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21">
        <v>2016</v>
      </c>
      <c r="K5" s="21">
        <v>2017</v>
      </c>
      <c r="L5" s="21">
        <v>2018</v>
      </c>
      <c r="M5" s="21">
        <v>2019</v>
      </c>
      <c r="N5" s="21">
        <v>2020</v>
      </c>
      <c r="O5" s="21" t="s">
        <v>75</v>
      </c>
    </row>
    <row r="6" spans="1:15" ht="30" customHeight="1">
      <c r="A6" s="238" t="s">
        <v>101</v>
      </c>
      <c r="B6" s="21" t="s">
        <v>102</v>
      </c>
      <c r="C6" s="21" t="s">
        <v>103</v>
      </c>
      <c r="D6" s="39">
        <f>'Табл.3'!N8*0.03/1000</f>
        <v>4.49601</v>
      </c>
      <c r="E6" s="39">
        <f>'Табл.3'!N8*0.06/1000</f>
        <v>8.99202</v>
      </c>
      <c r="F6" s="39">
        <f>'Табл.3'!N8*0.09/1000</f>
        <v>13.488029999999998</v>
      </c>
      <c r="G6" s="39">
        <f>'Табл.3'!N8*0.12/1000</f>
        <v>17.98404</v>
      </c>
      <c r="H6" s="39">
        <f>'Табл.3'!N8*0.15/1000</f>
        <v>22.48005</v>
      </c>
      <c r="I6" s="39">
        <f>'Табл.3'!N8*0.18/1000</f>
        <v>26.976059999999997</v>
      </c>
      <c r="J6" s="39">
        <f>'Табл.3'!N8*0.21/1000</f>
        <v>31.47207</v>
      </c>
      <c r="K6" s="39">
        <f>'Табл.3'!N8*0.24/1000</f>
        <v>35.96808</v>
      </c>
      <c r="L6" s="39">
        <f>'Табл.3'!N8*0.27/1000</f>
        <v>40.464090000000006</v>
      </c>
      <c r="M6" s="39">
        <f>'Табл.3'!N8*0.27/1000</f>
        <v>40.464090000000006</v>
      </c>
      <c r="N6" s="39">
        <f>'Табл.3'!N8*0.27/1000</f>
        <v>40.464090000000006</v>
      </c>
      <c r="O6" s="55">
        <f>SUM(D6:N6)</f>
        <v>283.24863</v>
      </c>
    </row>
    <row r="7" spans="1:15" ht="30" customHeight="1">
      <c r="A7" s="238"/>
      <c r="B7" s="256" t="s">
        <v>104</v>
      </c>
      <c r="C7" s="256"/>
      <c r="D7" s="73">
        <f>'Табл.5'!D19+'Табл.5'!D21</f>
        <v>0</v>
      </c>
      <c r="E7" s="73">
        <f>'Табл.5'!E19+'Табл.5'!E21</f>
        <v>4.4</v>
      </c>
      <c r="F7" s="73">
        <f>'Табл.5'!F19+'Табл.5'!F21</f>
        <v>0</v>
      </c>
      <c r="G7" s="73">
        <f>'Табл.5'!G19+'Табл.5'!G21</f>
        <v>32</v>
      </c>
      <c r="H7" s="73">
        <f>'Табл.5'!H19+'Табл.5'!H21</f>
        <v>0</v>
      </c>
      <c r="I7" s="73">
        <f>'Табл.5'!I19+'Табл.5'!I21</f>
        <v>0</v>
      </c>
      <c r="J7" s="73">
        <f>'Табл.5'!J19+'Табл.5'!J21</f>
        <v>0</v>
      </c>
      <c r="K7" s="73">
        <f>'Табл.5'!K19+'Табл.5'!K21</f>
        <v>0</v>
      </c>
      <c r="L7" s="73">
        <f>'Табл.5'!L19+'Табл.5'!L21</f>
        <v>0</v>
      </c>
      <c r="M7" s="73">
        <f>'Табл.5'!M19+'Табл.5'!M21</f>
        <v>0</v>
      </c>
      <c r="N7" s="73">
        <f>'Табл.5'!N19+'Табл.5'!N21</f>
        <v>0</v>
      </c>
      <c r="O7" s="55">
        <f aca="true" t="shared" si="0" ref="O7:O26">SUM(D7:N7)</f>
        <v>36.4</v>
      </c>
    </row>
    <row r="8" spans="1:15" ht="30" customHeight="1">
      <c r="A8" s="238"/>
      <c r="B8" s="256" t="s">
        <v>94</v>
      </c>
      <c r="C8" s="256"/>
      <c r="D8" s="74">
        <f>'Табл.5'!D20+'Табл.5'!D22</f>
        <v>0</v>
      </c>
      <c r="E8" s="74">
        <f>'Табл.5'!E20+'Табл.5'!E22</f>
        <v>26.356</v>
      </c>
      <c r="F8" s="73">
        <f>'Табл.5'!F20+'Табл.5'!F22</f>
        <v>0</v>
      </c>
      <c r="G8" s="73">
        <f>'Табл.5'!G20+'Табл.5'!G22</f>
        <v>223.06560000000002</v>
      </c>
      <c r="H8" s="73">
        <f>'Табл.5'!H20+'Табл.5'!H22</f>
        <v>0</v>
      </c>
      <c r="I8" s="73">
        <f>'Табл.5'!I20+'Табл.5'!I22</f>
        <v>0</v>
      </c>
      <c r="J8" s="73">
        <f>'Табл.5'!J20+'Табл.5'!J22</f>
        <v>0</v>
      </c>
      <c r="K8" s="73">
        <f>'Табл.5'!K20+'Табл.5'!K22</f>
        <v>0</v>
      </c>
      <c r="L8" s="73">
        <f>'Табл.5'!L20+'Табл.5'!L22</f>
        <v>0</v>
      </c>
      <c r="M8" s="73">
        <f>'Табл.5'!M20+'Табл.5'!M22</f>
        <v>0</v>
      </c>
      <c r="N8" s="73">
        <f>'Табл.5'!N20+'Табл.5'!N22</f>
        <v>0</v>
      </c>
      <c r="O8" s="55">
        <f t="shared" si="0"/>
        <v>249.4216</v>
      </c>
    </row>
    <row r="9" spans="1:15" ht="30" customHeight="1">
      <c r="A9" s="256" t="s">
        <v>92</v>
      </c>
      <c r="B9" s="21" t="s">
        <v>102</v>
      </c>
      <c r="C9" s="21" t="s">
        <v>95</v>
      </c>
      <c r="D9" s="75">
        <f>'Табл.3'!L8*0.03</f>
        <v>156</v>
      </c>
      <c r="E9" s="75">
        <f>'Табл.3'!L8*0.06</f>
        <v>312</v>
      </c>
      <c r="F9" s="75">
        <f>'Табл.3'!L8*0.09</f>
        <v>468</v>
      </c>
      <c r="G9" s="75">
        <f>'Табл.3'!L8*0.12</f>
        <v>624</v>
      </c>
      <c r="H9" s="75">
        <f>'Табл.3'!L8*0.15</f>
        <v>780</v>
      </c>
      <c r="I9" s="75">
        <f>'Табл.3'!L8*0.18</f>
        <v>936</v>
      </c>
      <c r="J9" s="75">
        <f>'Табл.3'!L8*0.21</f>
        <v>1092</v>
      </c>
      <c r="K9" s="75">
        <f>'Табл.3'!L8*0.24</f>
        <v>1248</v>
      </c>
      <c r="L9" s="75">
        <f>'Табл.3'!L8*0.27</f>
        <v>1404</v>
      </c>
      <c r="M9" s="75">
        <f>'Табл.3'!L8*0.27</f>
        <v>1404</v>
      </c>
      <c r="N9" s="75">
        <f>'Табл.3'!L8*0.27</f>
        <v>1404</v>
      </c>
      <c r="O9" s="55">
        <f t="shared" si="0"/>
        <v>9828</v>
      </c>
    </row>
    <row r="10" spans="1:15" ht="30" customHeight="1">
      <c r="A10" s="256"/>
      <c r="B10" s="256" t="s">
        <v>95</v>
      </c>
      <c r="C10" s="256"/>
      <c r="D10" s="73">
        <f>'Табл.5'!D7+'Табл.5'!D9+'Табл.5'!D11+'Табл.5'!D13+'Табл.5'!D15+'Табл.5'!D17</f>
        <v>10</v>
      </c>
      <c r="E10" s="73">
        <f>'Табл.5'!E7+'Табл.5'!E9+'Табл.5'!E11+'Табл.5'!E13+'Табл.5'!E15+'Табл.5'!E17</f>
        <v>11</v>
      </c>
      <c r="F10" s="73">
        <f>'Табл.5'!F17+'Табл.5'!F9+'Табл.5'!F11+'Табл.5'!F13+'Табл.5'!F15+'Табл.5'!F17</f>
        <v>105</v>
      </c>
      <c r="G10" s="73">
        <f>'Табл.5'!G7+'Табл.5'!G9+'Табл.5'!G11+'Табл.5'!G13+'Табл.5'!G15+'Табл.5'!G17</f>
        <v>13</v>
      </c>
      <c r="H10" s="73">
        <f>'Табл.5'!H7+'Табл.5'!H9+'Табл.5'!H11+'Табл.5'!H13+'Табл.5'!H15+'Табл.5'!H17</f>
        <v>1214</v>
      </c>
      <c r="I10" s="73">
        <f>'Табл.5'!I7+'Табл.5'!I9+'Табл.5'!I11+'Табл.5'!I13+'Табл.5'!I15+'Табл.5'!I17</f>
        <v>15</v>
      </c>
      <c r="J10" s="73">
        <f>'Табл.5'!J7+'Табл.5'!J9+'Табл.5'!J11+'Табл.5'!J13+'Табл.5'!J15+'Табл.5'!J17</f>
        <v>16</v>
      </c>
      <c r="K10" s="73">
        <f>'Табл.5'!K7+'Табл.5'!K9+'Табл.5'!K11+'Табл.5'!K13+'Табл.5'!K15+'Табл.5'!K17</f>
        <v>17</v>
      </c>
      <c r="L10" s="73">
        <f>'Табл.5'!L7+'Табл.5'!L9+'Табл.5'!L11+'Табл.5'!L13+'Табл.5'!L15+'Табл.5'!L17</f>
        <v>18</v>
      </c>
      <c r="M10" s="73">
        <f>'Табл.5'!M7+'Табл.5'!M9+'Табл.5'!M11+'Табл.5'!M13+'Табл.5'!M15+'Табл.5'!M17</f>
        <v>19</v>
      </c>
      <c r="N10" s="73">
        <f>'Табл.5'!N7+'Табл.5'!N9+'Табл.5'!N11+'Табл.5'!N13+'Табл.5'!N15+'Табл.5'!N17</f>
        <v>20</v>
      </c>
      <c r="O10" s="55">
        <f t="shared" si="0"/>
        <v>1458</v>
      </c>
    </row>
    <row r="11" spans="1:15" ht="30" customHeight="1">
      <c r="A11" s="256"/>
      <c r="B11" s="256" t="s">
        <v>94</v>
      </c>
      <c r="C11" s="256"/>
      <c r="D11" s="74">
        <f>'Табл.5'!D8+'Табл.5'!D10+'Табл.5'!D12+'Табл.5'!D14+'Табл.5'!D16+'Табл.5'!D18</f>
        <v>12.5</v>
      </c>
      <c r="E11" s="74">
        <f>'Табл.5'!E8+'Табл.5'!E10+'Табл.5'!E12+'Табл.5'!E14+'Табл.5'!E16+'Табл.5'!E18</f>
        <v>14.85</v>
      </c>
      <c r="F11" s="74">
        <f>'Табл.5'!F8+'Табл.5'!F10+'Табл.5'!F12+'Табл.5'!F14+'Табл.5'!F16+'Табл.5'!F18</f>
        <v>162.4</v>
      </c>
      <c r="G11" s="74">
        <f>'Табл.5'!G8+'Табл.5'!G10+'Табл.5'!G12+'Табл.5'!G14+'Табл.5'!G16+'Табл.5'!G18</f>
        <v>20.923500000000004</v>
      </c>
      <c r="H11" s="74">
        <f>'Табл.5'!H8+'Табл.5'!H10+'Табл.5'!H12+'Табл.5'!H14+'Табл.5'!H16+'Табл.5'!H18</f>
        <v>2150.2034775000006</v>
      </c>
      <c r="I11" s="74">
        <f>'Табл.5'!I8+'Табл.5'!I10+'Табл.5'!I12+'Табл.5'!I14+'Табл.5'!I16+'Табл.5'!I18</f>
        <v>29.345208750000012</v>
      </c>
      <c r="J11" s="74">
        <f>'Табл.5'!J8+'Табл.5'!J10+'Табл.5'!J12+'Табл.5'!J14+'Табл.5'!J16+'Табл.5'!J18</f>
        <v>34.275203820000016</v>
      </c>
      <c r="K11" s="74">
        <f>'Табл.5'!K8+'Табл.5'!K10+'Табл.5'!K12+'Табл.5'!K14+'Табл.5'!K16+'Табл.5'!K18</f>
        <v>39.69497042403752</v>
      </c>
      <c r="L11" s="74">
        <f>'Табл.5'!L8+'Табл.5'!L10+'Табл.5'!L12+'Табл.5'!L14+'Табл.5'!L16+'Табл.5'!L18</f>
        <v>45.602516022438394</v>
      </c>
      <c r="M11" s="74">
        <f>'Табл.5'!M8+'Табл.5'!M10+'Табл.5'!M12+'Табл.5'!M14+'Табл.5'!M16+'Табл.5'!M18</f>
        <v>51.98686826557977</v>
      </c>
      <c r="N11" s="74">
        <f>'Табл.5'!N8+'Табл.5'!N10+'Табл.5'!N12+'Табл.5'!N14+'Табл.5'!N16+'Табл.5'!N18</f>
        <v>58.827245668945544</v>
      </c>
      <c r="O11" s="55">
        <f t="shared" si="0"/>
        <v>2620.608990451002</v>
      </c>
    </row>
    <row r="12" spans="1:15" ht="30" customHeight="1">
      <c r="A12" s="256" t="s">
        <v>316</v>
      </c>
      <c r="B12" s="21" t="s">
        <v>102</v>
      </c>
      <c r="C12" s="21" t="s">
        <v>98</v>
      </c>
      <c r="D12" s="75">
        <f>'Табл.3'!P8*0.03</f>
        <v>54.6</v>
      </c>
      <c r="E12" s="75">
        <f>'Табл.3'!P8*0.06</f>
        <v>109.2</v>
      </c>
      <c r="F12" s="75">
        <f>'Табл.3'!P8*0.09</f>
        <v>163.79999999999998</v>
      </c>
      <c r="G12" s="75">
        <f>'Табл.3'!P8*0.12</f>
        <v>218.4</v>
      </c>
      <c r="H12" s="75">
        <f>'Табл.3'!P8*0.15</f>
        <v>273</v>
      </c>
      <c r="I12" s="75">
        <f>'Табл.3'!P8*0.18</f>
        <v>327.59999999999997</v>
      </c>
      <c r="J12" s="75">
        <f>'Табл.3'!P8*0.21</f>
        <v>382.2</v>
      </c>
      <c r="K12" s="75">
        <f>'Табл.3'!P8*0.24</f>
        <v>436.8</v>
      </c>
      <c r="L12" s="75">
        <f>'Табл.3'!P8*0.27</f>
        <v>491.40000000000003</v>
      </c>
      <c r="M12" s="75">
        <f>'Табл.3'!P8*0.27</f>
        <v>491.40000000000003</v>
      </c>
      <c r="N12" s="75">
        <f>'Табл.3'!P8*0.27</f>
        <v>491.40000000000003</v>
      </c>
      <c r="O12" s="55">
        <f t="shared" si="0"/>
        <v>3439.8</v>
      </c>
    </row>
    <row r="13" spans="1:15" ht="30" customHeight="1">
      <c r="A13" s="256"/>
      <c r="B13" s="256" t="s">
        <v>98</v>
      </c>
      <c r="C13" s="256"/>
      <c r="D13" s="73">
        <f>'Табл.5'!D27</f>
        <v>0</v>
      </c>
      <c r="E13" s="73">
        <f>'Табл.5'!E27</f>
        <v>0</v>
      </c>
      <c r="F13" s="73">
        <f>'Табл.5'!F27</f>
        <v>16</v>
      </c>
      <c r="G13" s="73">
        <f>'Табл.5'!G27</f>
        <v>0</v>
      </c>
      <c r="H13" s="73">
        <f>'Табл.5'!H27</f>
        <v>0</v>
      </c>
      <c r="I13" s="73">
        <f>'Табл.5'!I27</f>
        <v>0</v>
      </c>
      <c r="J13" s="73">
        <f>'Табл.5'!J27</f>
        <v>0</v>
      </c>
      <c r="K13" s="73">
        <f>'Табл.5'!K27</f>
        <v>0</v>
      </c>
      <c r="L13" s="73">
        <f>'Табл.5'!L27</f>
        <v>0</v>
      </c>
      <c r="M13" s="73">
        <f>'Табл.5'!M27</f>
        <v>0</v>
      </c>
      <c r="N13" s="73">
        <f>'Табл.5'!N27</f>
        <v>0</v>
      </c>
      <c r="O13" s="55">
        <f t="shared" si="0"/>
        <v>16</v>
      </c>
    </row>
    <row r="14" spans="1:15" ht="30" customHeight="1">
      <c r="A14" s="256"/>
      <c r="B14" s="256" t="s">
        <v>94</v>
      </c>
      <c r="C14" s="256"/>
      <c r="D14" s="74">
        <f>'Табл.5'!D28</f>
        <v>0</v>
      </c>
      <c r="E14" s="74">
        <f>'Табл.5'!E28</f>
        <v>0</v>
      </c>
      <c r="F14" s="74">
        <f>'Табл.5'!F28</f>
        <v>1.44</v>
      </c>
      <c r="G14" s="74">
        <f>'Табл.5'!G28</f>
        <v>0</v>
      </c>
      <c r="H14" s="74">
        <f>'Табл.5'!H28</f>
        <v>0</v>
      </c>
      <c r="I14" s="74">
        <f>'Табл.5'!I28</f>
        <v>0</v>
      </c>
      <c r="J14" s="74">
        <f>'Табл.5'!J28</f>
        <v>0</v>
      </c>
      <c r="K14" s="74">
        <f>'Табл.5'!K28</f>
        <v>0</v>
      </c>
      <c r="L14" s="74">
        <f>'Табл.5'!L28</f>
        <v>0</v>
      </c>
      <c r="M14" s="74">
        <f>'Табл.5'!M28</f>
        <v>0</v>
      </c>
      <c r="N14" s="74">
        <f>'Табл.5'!N28</f>
        <v>0</v>
      </c>
      <c r="O14" s="55">
        <f t="shared" si="0"/>
        <v>1.44</v>
      </c>
    </row>
    <row r="15" spans="1:15" ht="33" customHeight="1">
      <c r="A15" s="270" t="s">
        <v>122</v>
      </c>
      <c r="B15" s="21" t="s">
        <v>102</v>
      </c>
      <c r="C15" s="21" t="s">
        <v>114</v>
      </c>
      <c r="D15" s="75">
        <f>'Табл.3'!F8*0.03</f>
        <v>0.75</v>
      </c>
      <c r="E15" s="75">
        <f>'Табл.3'!F8*0.06</f>
        <v>1.5</v>
      </c>
      <c r="F15" s="75">
        <f>'Табл.3'!F8*0.09</f>
        <v>2.25</v>
      </c>
      <c r="G15" s="75">
        <f>'Табл.3'!F8*0.12</f>
        <v>3</v>
      </c>
      <c r="H15" s="75">
        <f>'Табл.3'!F8*0.15</f>
        <v>3.75</v>
      </c>
      <c r="I15" s="75">
        <f>'Табл.3'!F8*0.18</f>
        <v>4.5</v>
      </c>
      <c r="J15" s="75">
        <f>'Табл.3'!F8*0.21</f>
        <v>5.25</v>
      </c>
      <c r="K15" s="75">
        <f>'Табл.3'!F8*0.24</f>
        <v>6</v>
      </c>
      <c r="L15" s="75">
        <f>'Табл.3'!F8*0.27</f>
        <v>6.75</v>
      </c>
      <c r="M15" s="75">
        <f>'Табл.3'!F8*0.27</f>
        <v>6.75</v>
      </c>
      <c r="N15" s="75">
        <f>'Табл.3'!F8*0.27</f>
        <v>6.75</v>
      </c>
      <c r="O15" s="55">
        <f t="shared" si="0"/>
        <v>47.25</v>
      </c>
    </row>
    <row r="16" spans="1:15" ht="33" customHeight="1">
      <c r="A16" s="271"/>
      <c r="B16" s="256" t="s">
        <v>114</v>
      </c>
      <c r="C16" s="256"/>
      <c r="D16" s="73">
        <f>'Табл.5'!D29</f>
        <v>0</v>
      </c>
      <c r="E16" s="73">
        <f>'Табл.5'!E29</f>
        <v>0</v>
      </c>
      <c r="F16" s="73">
        <f>'Табл.5'!F29</f>
        <v>0</v>
      </c>
      <c r="G16" s="73">
        <f>'Табл.5'!G29</f>
        <v>1200</v>
      </c>
      <c r="H16" s="73">
        <f>'Табл.5'!H29</f>
        <v>0</v>
      </c>
      <c r="I16" s="73">
        <f>'Табл.5'!I29</f>
        <v>0</v>
      </c>
      <c r="J16" s="73">
        <f>'Табл.5'!J29</f>
        <v>0</v>
      </c>
      <c r="K16" s="73">
        <f>'Табл.5'!K29</f>
        <v>0</v>
      </c>
      <c r="L16" s="73">
        <f>'Табл.5'!L29</f>
        <v>0</v>
      </c>
      <c r="M16" s="73">
        <f>'Табл.5'!M29</f>
        <v>0</v>
      </c>
      <c r="N16" s="73">
        <f>'Табл.5'!N29</f>
        <v>0</v>
      </c>
      <c r="O16" s="55">
        <f t="shared" si="0"/>
        <v>1200</v>
      </c>
    </row>
    <row r="17" spans="1:15" ht="33" customHeight="1">
      <c r="A17" s="272"/>
      <c r="B17" s="256" t="s">
        <v>94</v>
      </c>
      <c r="C17" s="256"/>
      <c r="D17" s="73">
        <f>'Табл.5'!D30</f>
        <v>0</v>
      </c>
      <c r="E17" s="73">
        <f>'Табл.5'!E30</f>
        <v>0</v>
      </c>
      <c r="F17" s="73">
        <f>'Табл.5'!F30</f>
        <v>0</v>
      </c>
      <c r="G17" s="73">
        <f>'Табл.5'!G30</f>
        <v>3313.224</v>
      </c>
      <c r="H17" s="73">
        <f>'Табл.5'!H30</f>
        <v>0</v>
      </c>
      <c r="I17" s="73">
        <f>'Табл.5'!I30</f>
        <v>0</v>
      </c>
      <c r="J17" s="73">
        <f>'Табл.5'!J30</f>
        <v>0</v>
      </c>
      <c r="K17" s="73">
        <f>'Табл.5'!K30</f>
        <v>0</v>
      </c>
      <c r="L17" s="73">
        <f>'Табл.5'!L30</f>
        <v>0</v>
      </c>
      <c r="M17" s="73">
        <f>'Табл.5'!M30</f>
        <v>0</v>
      </c>
      <c r="N17" s="73">
        <f>'Табл.5'!N30</f>
        <v>0</v>
      </c>
      <c r="O17" s="55">
        <f t="shared" si="0"/>
        <v>3313.224</v>
      </c>
    </row>
    <row r="18" spans="1:15" ht="33.75" customHeight="1">
      <c r="A18" s="270" t="s">
        <v>317</v>
      </c>
      <c r="B18" s="21" t="s">
        <v>102</v>
      </c>
      <c r="C18" s="21" t="s">
        <v>98</v>
      </c>
      <c r="D18" s="75">
        <f>'Табл.3'!R8*0.03</f>
        <v>30</v>
      </c>
      <c r="E18" s="75">
        <f>'Табл.3'!R8*0.06</f>
        <v>60</v>
      </c>
      <c r="F18" s="75">
        <f>'Табл.3'!R8*0.09</f>
        <v>90</v>
      </c>
      <c r="G18" s="75">
        <f>'Табл.3'!R8*0.12</f>
        <v>120</v>
      </c>
      <c r="H18" s="75">
        <f>'Табл.3'!R8*0.15</f>
        <v>150</v>
      </c>
      <c r="I18" s="75">
        <f>'Табл.3'!R8*0.18</f>
        <v>180</v>
      </c>
      <c r="J18" s="75">
        <f>'Табл.3'!R8*0.21</f>
        <v>210</v>
      </c>
      <c r="K18" s="75">
        <f>'Табл.3'!R8*0.24</f>
        <v>240</v>
      </c>
      <c r="L18" s="75">
        <f>'Табл.3'!R8*0.27</f>
        <v>270</v>
      </c>
      <c r="M18" s="75">
        <f>'Табл.3'!R8*0.27</f>
        <v>270</v>
      </c>
      <c r="N18" s="75">
        <f>'Табл.3'!R8*0.27</f>
        <v>270</v>
      </c>
      <c r="O18" s="55">
        <f t="shared" si="0"/>
        <v>1890</v>
      </c>
    </row>
    <row r="19" spans="1:15" ht="33.75" customHeight="1">
      <c r="A19" s="271"/>
      <c r="B19" s="256" t="s">
        <v>98</v>
      </c>
      <c r="C19" s="256"/>
      <c r="D19" s="73">
        <f>'Табл.5'!D31</f>
        <v>0</v>
      </c>
      <c r="E19" s="73">
        <f>'Табл.5'!E31</f>
        <v>0</v>
      </c>
      <c r="F19" s="73">
        <f>'Табл.5'!F31</f>
        <v>0</v>
      </c>
      <c r="G19" s="73">
        <f>'Табл.5'!G31</f>
        <v>0</v>
      </c>
      <c r="H19" s="73">
        <f>'Табл.5'!H31</f>
        <v>0</v>
      </c>
      <c r="I19" s="73">
        <f>'Табл.5'!I31</f>
        <v>0</v>
      </c>
      <c r="J19" s="73">
        <f>'Табл.5'!J31</f>
        <v>0</v>
      </c>
      <c r="K19" s="73">
        <f>'Табл.5'!K31</f>
        <v>0</v>
      </c>
      <c r="L19" s="73">
        <f>'Табл.5'!L31</f>
        <v>0</v>
      </c>
      <c r="M19" s="73">
        <f>'Табл.5'!M31</f>
        <v>0</v>
      </c>
      <c r="N19" s="73">
        <f>'Табл.5'!N31</f>
        <v>0</v>
      </c>
      <c r="O19" s="55">
        <f t="shared" si="0"/>
        <v>0</v>
      </c>
    </row>
    <row r="20" spans="1:15" ht="33.75" customHeight="1">
      <c r="A20" s="272"/>
      <c r="B20" s="256" t="s">
        <v>94</v>
      </c>
      <c r="C20" s="256"/>
      <c r="D20" s="73">
        <f>'Табл.5'!D32</f>
        <v>0</v>
      </c>
      <c r="E20" s="73">
        <f>'Табл.5'!E32</f>
        <v>0</v>
      </c>
      <c r="F20" s="73">
        <f>'Табл.5'!F32</f>
        <v>0</v>
      </c>
      <c r="G20" s="73">
        <f>'Табл.5'!G32</f>
        <v>0</v>
      </c>
      <c r="H20" s="73">
        <f>'Табл.5'!H32</f>
        <v>0</v>
      </c>
      <c r="I20" s="73">
        <f>'Табл.5'!I32</f>
        <v>0</v>
      </c>
      <c r="J20" s="73">
        <f>'Табл.5'!J32</f>
        <v>0</v>
      </c>
      <c r="K20" s="73">
        <f>'Табл.5'!K32</f>
        <v>0</v>
      </c>
      <c r="L20" s="73">
        <f>'Табл.5'!L32</f>
        <v>0</v>
      </c>
      <c r="M20" s="73">
        <f>'Табл.5'!M32</f>
        <v>0</v>
      </c>
      <c r="N20" s="73">
        <f>'Табл.5'!N32</f>
        <v>0</v>
      </c>
      <c r="O20" s="55">
        <f t="shared" si="0"/>
        <v>0</v>
      </c>
    </row>
    <row r="21" spans="1:15" ht="33.75" customHeight="1">
      <c r="A21" s="270" t="s">
        <v>208</v>
      </c>
      <c r="B21" s="21" t="s">
        <v>102</v>
      </c>
      <c r="C21" s="21" t="s">
        <v>98</v>
      </c>
      <c r="D21" s="75">
        <f>'Табл.3'!H8*0.03</f>
        <v>30</v>
      </c>
      <c r="E21" s="75">
        <f>'Табл.3'!H8*0.06</f>
        <v>60</v>
      </c>
      <c r="F21" s="75">
        <f>'Табл.3'!H8*0.09</f>
        <v>90</v>
      </c>
      <c r="G21" s="75">
        <f>'Табл.3'!H8*0.12</f>
        <v>120</v>
      </c>
      <c r="H21" s="75">
        <f>'Табл.3'!H8*0.15</f>
        <v>150</v>
      </c>
      <c r="I21" s="75">
        <f>'Табл.3'!H8*0.18</f>
        <v>180</v>
      </c>
      <c r="J21" s="75">
        <f>'Табл.3'!H8*0.21</f>
        <v>210</v>
      </c>
      <c r="K21" s="75">
        <f>'Табл.3'!H8*0.24</f>
        <v>240</v>
      </c>
      <c r="L21" s="75">
        <f>'Табл.3'!H8*0.27</f>
        <v>270</v>
      </c>
      <c r="M21" s="75">
        <f>'Табл.3'!H8*0.27</f>
        <v>270</v>
      </c>
      <c r="N21" s="75">
        <f>'Табл.3'!H8*0.27</f>
        <v>270</v>
      </c>
      <c r="O21" s="55">
        <f t="shared" si="0"/>
        <v>1890</v>
      </c>
    </row>
    <row r="22" spans="1:15" ht="33.75" customHeight="1">
      <c r="A22" s="271"/>
      <c r="B22" s="256" t="s">
        <v>98</v>
      </c>
      <c r="C22" s="256"/>
      <c r="D22" s="73">
        <f>'Табл.5'!D33</f>
        <v>0</v>
      </c>
      <c r="E22" s="73">
        <f>'Табл.5'!E33</f>
        <v>0</v>
      </c>
      <c r="F22" s="73">
        <f>'Табл.5'!F33</f>
        <v>0</v>
      </c>
      <c r="G22" s="73">
        <f>'Табл.5'!G33</f>
        <v>0</v>
      </c>
      <c r="H22" s="73">
        <f>'Табл.5'!H33</f>
        <v>0</v>
      </c>
      <c r="I22" s="73">
        <f>'Табл.5'!I33</f>
        <v>0</v>
      </c>
      <c r="J22" s="73">
        <f>'Табл.5'!J33</f>
        <v>0</v>
      </c>
      <c r="K22" s="73">
        <f>'Табл.5'!K33</f>
        <v>0</v>
      </c>
      <c r="L22" s="73">
        <f>'Табл.5'!L33</f>
        <v>0</v>
      </c>
      <c r="M22" s="73">
        <f>'Табл.5'!M33</f>
        <v>0</v>
      </c>
      <c r="N22" s="73">
        <f>'Табл.5'!N33</f>
        <v>0</v>
      </c>
      <c r="O22" s="55">
        <f t="shared" si="0"/>
        <v>0</v>
      </c>
    </row>
    <row r="23" spans="1:15" ht="33.75" customHeight="1">
      <c r="A23" s="272"/>
      <c r="B23" s="256" t="s">
        <v>94</v>
      </c>
      <c r="C23" s="256"/>
      <c r="D23" s="73">
        <f>'Табл.5'!D34</f>
        <v>0</v>
      </c>
      <c r="E23" s="73">
        <f>'Табл.5'!E34</f>
        <v>0</v>
      </c>
      <c r="F23" s="73">
        <f>'Табл.5'!F34</f>
        <v>0</v>
      </c>
      <c r="G23" s="73">
        <f>'Табл.5'!G34</f>
        <v>0</v>
      </c>
      <c r="H23" s="73">
        <f>'Табл.5'!H34</f>
        <v>0</v>
      </c>
      <c r="I23" s="73">
        <f>'Табл.5'!I34</f>
        <v>0</v>
      </c>
      <c r="J23" s="73">
        <f>'Табл.5'!J34</f>
        <v>0</v>
      </c>
      <c r="K23" s="73">
        <f>'Табл.5'!K34</f>
        <v>0</v>
      </c>
      <c r="L23" s="73">
        <f>'Табл.5'!L34</f>
        <v>0</v>
      </c>
      <c r="M23" s="73">
        <f>'Табл.5'!M34</f>
        <v>0</v>
      </c>
      <c r="N23" s="73">
        <f>'Табл.5'!N34</f>
        <v>0</v>
      </c>
      <c r="O23" s="55">
        <f t="shared" si="0"/>
        <v>0</v>
      </c>
    </row>
    <row r="24" spans="1:15" ht="33.75" customHeight="1">
      <c r="A24" s="270" t="s">
        <v>115</v>
      </c>
      <c r="B24" s="21" t="s">
        <v>102</v>
      </c>
      <c r="C24" s="21" t="s">
        <v>98</v>
      </c>
      <c r="D24" s="75">
        <f>'Табл.3'!B8*0.03</f>
        <v>30</v>
      </c>
      <c r="E24" s="75">
        <f>'Табл.3'!B8*0.06</f>
        <v>60</v>
      </c>
      <c r="F24" s="75">
        <f>'Табл.3'!B8*0.09</f>
        <v>90</v>
      </c>
      <c r="G24" s="75">
        <f>'Табл.3'!B8*0.12</f>
        <v>120</v>
      </c>
      <c r="H24" s="75">
        <f>'Табл.3'!B8*0.15</f>
        <v>150</v>
      </c>
      <c r="I24" s="75">
        <f>'Табл.3'!B8*0.18</f>
        <v>180</v>
      </c>
      <c r="J24" s="75">
        <f>'Табл.3'!B8*0.21</f>
        <v>210</v>
      </c>
      <c r="K24" s="75">
        <f>'Табл.3'!B8*0.24</f>
        <v>240</v>
      </c>
      <c r="L24" s="75">
        <f>'Табл.3'!B8*0.27</f>
        <v>270</v>
      </c>
      <c r="M24" s="75">
        <f>'Табл.3'!B8*0.27</f>
        <v>270</v>
      </c>
      <c r="N24" s="75">
        <f>'Табл.3'!B8*0.27</f>
        <v>270</v>
      </c>
      <c r="O24" s="55">
        <f t="shared" si="0"/>
        <v>1890</v>
      </c>
    </row>
    <row r="25" spans="1:15" ht="33.75" customHeight="1">
      <c r="A25" s="271"/>
      <c r="B25" s="256" t="s">
        <v>98</v>
      </c>
      <c r="C25" s="256"/>
      <c r="D25" s="73">
        <f>'Табл.5'!D35</f>
        <v>0</v>
      </c>
      <c r="E25" s="73">
        <f>'Табл.5'!E35</f>
        <v>0</v>
      </c>
      <c r="F25" s="73">
        <f>'Табл.5'!F35</f>
        <v>0</v>
      </c>
      <c r="G25" s="73">
        <f>'Табл.5'!G35</f>
        <v>0</v>
      </c>
      <c r="H25" s="73">
        <f>'Табл.5'!H35</f>
        <v>0</v>
      </c>
      <c r="I25" s="73">
        <f>'Табл.5'!I35</f>
        <v>0</v>
      </c>
      <c r="J25" s="73">
        <f>'Табл.5'!J35</f>
        <v>0</v>
      </c>
      <c r="K25" s="73">
        <f>'Табл.5'!K35</f>
        <v>0</v>
      </c>
      <c r="L25" s="73">
        <f>'Табл.5'!L35</f>
        <v>0</v>
      </c>
      <c r="M25" s="73">
        <f>'Табл.5'!M35</f>
        <v>0</v>
      </c>
      <c r="N25" s="73">
        <f>'Табл.5'!N35</f>
        <v>0</v>
      </c>
      <c r="O25" s="55">
        <f t="shared" si="0"/>
        <v>0</v>
      </c>
    </row>
    <row r="26" spans="1:15" ht="33.75" customHeight="1">
      <c r="A26" s="272"/>
      <c r="B26" s="256" t="s">
        <v>94</v>
      </c>
      <c r="C26" s="256"/>
      <c r="D26" s="73">
        <f>'Табл.5'!D36</f>
        <v>0</v>
      </c>
      <c r="E26" s="73">
        <f>'Табл.5'!E36</f>
        <v>0</v>
      </c>
      <c r="F26" s="73">
        <f>'Табл.5'!F36</f>
        <v>0</v>
      </c>
      <c r="G26" s="73">
        <f>'Табл.5'!G36</f>
        <v>0</v>
      </c>
      <c r="H26" s="73">
        <f>'Табл.5'!H36</f>
        <v>0</v>
      </c>
      <c r="I26" s="73">
        <f>'Табл.5'!I36</f>
        <v>0</v>
      </c>
      <c r="J26" s="73">
        <f>'Табл.5'!J36</f>
        <v>0</v>
      </c>
      <c r="K26" s="73">
        <f>'Табл.5'!K36</f>
        <v>0</v>
      </c>
      <c r="L26" s="73">
        <f>'Табл.5'!L36</f>
        <v>0</v>
      </c>
      <c r="M26" s="73">
        <f>'Табл.5'!M36</f>
        <v>0</v>
      </c>
      <c r="N26" s="73">
        <f>'Табл.5'!N36</f>
        <v>0</v>
      </c>
      <c r="O26" s="55">
        <f t="shared" si="0"/>
        <v>0</v>
      </c>
    </row>
    <row r="27" spans="1:15" ht="15.75">
      <c r="A27" s="41" t="s">
        <v>209</v>
      </c>
      <c r="B27" s="256" t="s">
        <v>94</v>
      </c>
      <c r="C27" s="256"/>
      <c r="D27" s="76">
        <f>SUM(D8+D11+D14+D17+D20+D23+D26)</f>
        <v>12.5</v>
      </c>
      <c r="E27" s="76">
        <f aca="true" t="shared" si="1" ref="E27:N27">SUM(E8+E11+E14+E17+E20+E23+E26)</f>
        <v>41.206</v>
      </c>
      <c r="F27" s="76">
        <f t="shared" si="1"/>
        <v>163.84</v>
      </c>
      <c r="G27" s="76">
        <f t="shared" si="1"/>
        <v>3557.2131</v>
      </c>
      <c r="H27" s="76">
        <f t="shared" si="1"/>
        <v>2150.2034775000006</v>
      </c>
      <c r="I27" s="76">
        <f t="shared" si="1"/>
        <v>29.345208750000012</v>
      </c>
      <c r="J27" s="76">
        <f t="shared" si="1"/>
        <v>34.275203820000016</v>
      </c>
      <c r="K27" s="76">
        <f t="shared" si="1"/>
        <v>39.69497042403752</v>
      </c>
      <c r="L27" s="76">
        <f t="shared" si="1"/>
        <v>45.602516022438394</v>
      </c>
      <c r="M27" s="76">
        <f t="shared" si="1"/>
        <v>51.98686826557977</v>
      </c>
      <c r="N27" s="76">
        <f t="shared" si="1"/>
        <v>58.827245668945544</v>
      </c>
      <c r="O27" s="55">
        <f>SUM(D27:N27)</f>
        <v>6184.694590451001</v>
      </c>
    </row>
  </sheetData>
  <sheetProtection/>
  <mergeCells count="27">
    <mergeCell ref="D2:K2"/>
    <mergeCell ref="A15:A17"/>
    <mergeCell ref="B16:C16"/>
    <mergeCell ref="B17:C17"/>
    <mergeCell ref="A1:O1"/>
    <mergeCell ref="A9:A11"/>
    <mergeCell ref="B10:C10"/>
    <mergeCell ref="B11:C11"/>
    <mergeCell ref="A12:A14"/>
    <mergeCell ref="B13:C13"/>
    <mergeCell ref="B14:C14"/>
    <mergeCell ref="A4:A5"/>
    <mergeCell ref="B4:O4"/>
    <mergeCell ref="B5:C5"/>
    <mergeCell ref="A6:A8"/>
    <mergeCell ref="B7:C7"/>
    <mergeCell ref="B8:C8"/>
    <mergeCell ref="B27:C27"/>
    <mergeCell ref="A18:A20"/>
    <mergeCell ref="B19:C19"/>
    <mergeCell ref="B20:C20"/>
    <mergeCell ref="A21:A23"/>
    <mergeCell ref="B22:C22"/>
    <mergeCell ref="B23:C23"/>
    <mergeCell ref="A24:A26"/>
    <mergeCell ref="B25:C25"/>
    <mergeCell ref="B26:C2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U43"/>
  <sheetViews>
    <sheetView view="pageBreakPreview" zoomScaleSheetLayoutView="100" zoomScalePageLayoutView="0" workbookViewId="0" topLeftCell="A28">
      <selection activeCell="G10" sqref="G10"/>
    </sheetView>
  </sheetViews>
  <sheetFormatPr defaultColWidth="9.140625" defaultRowHeight="15"/>
  <cols>
    <col min="1" max="1" width="6.28125" style="1" customWidth="1"/>
    <col min="2" max="2" width="15.7109375" style="1" customWidth="1"/>
    <col min="3" max="3" width="11.28125" style="1" customWidth="1"/>
    <col min="4" max="15" width="13.421875" style="1" customWidth="1"/>
    <col min="16" max="16384" width="9.140625" style="1" customWidth="1"/>
  </cols>
  <sheetData>
    <row r="1" spans="1:15" ht="18" customHeight="1">
      <c r="A1" s="203" t="s">
        <v>365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3" ht="18.75">
      <c r="A2" s="20"/>
      <c r="F2" s="279" t="s">
        <v>335</v>
      </c>
      <c r="G2" s="279"/>
      <c r="H2" s="279"/>
      <c r="I2" s="279"/>
      <c r="J2" s="279"/>
      <c r="K2" s="279"/>
      <c r="L2" s="142"/>
      <c r="M2" s="142"/>
    </row>
    <row r="3" spans="9:15" ht="15.75">
      <c r="I3" s="16"/>
      <c r="O3" s="100" t="s">
        <v>105</v>
      </c>
    </row>
    <row r="4" spans="1:15" ht="68.25" customHeight="1">
      <c r="A4" s="256" t="s">
        <v>106</v>
      </c>
      <c r="B4" s="256" t="s">
        <v>107</v>
      </c>
      <c r="C4" s="256" t="s">
        <v>91</v>
      </c>
      <c r="D4" s="256" t="s">
        <v>108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15.75">
      <c r="A5" s="256"/>
      <c r="B5" s="256"/>
      <c r="C5" s="256"/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21">
        <v>2015</v>
      </c>
      <c r="K5" s="21">
        <v>2016</v>
      </c>
      <c r="L5" s="21">
        <v>2017</v>
      </c>
      <c r="M5" s="21">
        <v>2018</v>
      </c>
      <c r="N5" s="21">
        <v>2019</v>
      </c>
      <c r="O5" s="21">
        <v>2020</v>
      </c>
    </row>
    <row r="6" spans="1:15" ht="25.5" customHeight="1">
      <c r="A6" s="289" t="s">
        <v>127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49.5" customHeight="1">
      <c r="A7" s="256">
        <v>1</v>
      </c>
      <c r="B7" s="21" t="s">
        <v>109</v>
      </c>
      <c r="C7" s="21" t="s">
        <v>104</v>
      </c>
      <c r="D7" s="34">
        <v>147.6</v>
      </c>
      <c r="E7" s="34">
        <v>149.8</v>
      </c>
      <c r="F7" s="34">
        <v>145.3</v>
      </c>
      <c r="G7" s="34">
        <f>D7-'Табл.6'!F7</f>
        <v>147.6</v>
      </c>
      <c r="H7" s="34">
        <f>D7-'Табл.6'!G7</f>
        <v>115.6</v>
      </c>
      <c r="I7" s="34">
        <f>D7-'Табл.6'!H7</f>
        <v>147.6</v>
      </c>
      <c r="J7" s="34">
        <f>D7-'Табл.6'!I7</f>
        <v>147.6</v>
      </c>
      <c r="K7" s="34">
        <f>D7-'Табл.6'!J7</f>
        <v>147.6</v>
      </c>
      <c r="L7" s="34">
        <f>D7-'Табл.6'!K7</f>
        <v>147.6</v>
      </c>
      <c r="M7" s="34">
        <f>D7-'Табл.6'!L7</f>
        <v>147.6</v>
      </c>
      <c r="N7" s="34">
        <f>D7-'Табл.6'!M7</f>
        <v>147.6</v>
      </c>
      <c r="O7" s="34">
        <f>D7-'Табл.6'!N7</f>
        <v>147.6</v>
      </c>
    </row>
    <row r="8" spans="1:16" ht="49.5" customHeight="1">
      <c r="A8" s="256"/>
      <c r="B8" s="21" t="s">
        <v>110</v>
      </c>
      <c r="C8" s="21" t="s">
        <v>111</v>
      </c>
      <c r="D8" s="35">
        <f>'Табл.3'!O8/1000</f>
        <v>494.56109999999995</v>
      </c>
      <c r="E8" s="36">
        <f>E7*'Табл.3'!V7</f>
        <v>576.73</v>
      </c>
      <c r="F8" s="36">
        <f>F7*'Табл.3'!V8</f>
        <v>870.3470000000001</v>
      </c>
      <c r="G8" s="36">
        <f>G7*'Табл.3'!V9</f>
        <v>926.928</v>
      </c>
      <c r="H8" s="36">
        <f>H7*'Табл.3'!V9*F34</f>
        <v>805.82448</v>
      </c>
      <c r="I8" s="36">
        <f>I7*'Табл.3'!V9*G34</f>
        <v>1136.9235384000003</v>
      </c>
      <c r="J8" s="36">
        <f>J7*'Табл.3'!V9*H34</f>
        <v>1250.6158922400004</v>
      </c>
      <c r="K8" s="36">
        <f>K7*'Табл.3'!V9*I34</f>
        <v>1369.4244020028004</v>
      </c>
      <c r="L8" s="36">
        <f>L7*'Табл.3'!V9*J34</f>
        <v>1492.6725981830527</v>
      </c>
      <c r="M8" s="36">
        <f>M7*'Табл.3'!V9*K34</f>
        <v>1619.549769028612</v>
      </c>
      <c r="N8" s="36">
        <f>N7*'Табл.3'!V9*L34</f>
        <v>1749.1137505509012</v>
      </c>
      <c r="O8" s="36">
        <f>O7*'Табл.3'!V9*M34</f>
        <v>1880.297281842219</v>
      </c>
      <c r="P8" s="29"/>
    </row>
    <row r="9" spans="1:16" ht="26.25" customHeight="1">
      <c r="A9" s="276" t="s">
        <v>218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29"/>
    </row>
    <row r="10" spans="1:16" ht="49.5" customHeight="1">
      <c r="A10" s="298" t="s">
        <v>397</v>
      </c>
      <c r="B10" s="21" t="s">
        <v>109</v>
      </c>
      <c r="C10" s="21" t="s">
        <v>95</v>
      </c>
      <c r="D10" s="37">
        <f>'Табл.3'!L8</f>
        <v>5200</v>
      </c>
      <c r="E10" s="37">
        <f>D10-'Табл.6'!D10</f>
        <v>5190</v>
      </c>
      <c r="F10" s="58">
        <f>D10-'Табл.6'!E10</f>
        <v>5189</v>
      </c>
      <c r="G10" s="58">
        <f>D10-'Табл.6'!F10</f>
        <v>5095</v>
      </c>
      <c r="H10" s="58">
        <f>D10-'Табл.6'!G10</f>
        <v>5187</v>
      </c>
      <c r="I10" s="58">
        <f>D10-'Табл.6'!H10</f>
        <v>3986</v>
      </c>
      <c r="J10" s="58">
        <f>D10-'Табл.6'!I10</f>
        <v>5185</v>
      </c>
      <c r="K10" s="58">
        <f>D10-'Табл.6'!J10</f>
        <v>5184</v>
      </c>
      <c r="L10" s="58">
        <f>D10-'Табл.6'!K10</f>
        <v>5183</v>
      </c>
      <c r="M10" s="58">
        <f>D10-'Табл.6'!L10</f>
        <v>5182</v>
      </c>
      <c r="N10" s="58">
        <f>D10-'Табл.6'!M10</f>
        <v>5181</v>
      </c>
      <c r="O10" s="58">
        <f>D10-'Табл.6'!N10</f>
        <v>5180</v>
      </c>
      <c r="P10" s="29"/>
    </row>
    <row r="11" spans="1:16" ht="49.5" customHeight="1">
      <c r="A11" s="298"/>
      <c r="B11" s="21" t="s">
        <v>112</v>
      </c>
      <c r="C11" s="21" t="s">
        <v>111</v>
      </c>
      <c r="D11" s="35">
        <f>'Табл.3'!M8/1000</f>
        <v>5980</v>
      </c>
      <c r="E11" s="37">
        <f>E10*'Табл.3'!W7/1000</f>
        <v>6487.5</v>
      </c>
      <c r="F11" s="37">
        <f>F10*'Табл.3'!W8/1000</f>
        <v>7005.15</v>
      </c>
      <c r="G11" s="37">
        <f>G10*'Табл.3'!W9/1000</f>
        <v>7387.75</v>
      </c>
      <c r="H11" s="36">
        <f>H10*'Табл.3'!W9*F34/1000</f>
        <v>8348.4765</v>
      </c>
      <c r="I11" s="37">
        <f>I10*'Табл.3'!W9*G34/1000</f>
        <v>7089.091035000001</v>
      </c>
      <c r="J11" s="36">
        <f>J10*'Табл.3'!W9*H34/1000</f>
        <v>10143.660491250002</v>
      </c>
      <c r="K11" s="36">
        <f>K10*'Табл.3'!W9*I34/1000</f>
        <v>11105.166037680005</v>
      </c>
      <c r="L11" s="36">
        <f>L10*'Табл.3'!W9*J34/1000</f>
        <v>12102.295982810969</v>
      </c>
      <c r="M11" s="36">
        <f>M10*'Табл.3'!W9*K34/1000</f>
        <v>13128.457668237543</v>
      </c>
      <c r="N11" s="36">
        <f>N10*'Табл.3'!W9*L34/1000</f>
        <v>14175.998130735199</v>
      </c>
      <c r="O11" s="36">
        <f>O10*'Табл.3'!W9*M34/1000</f>
        <v>15236.256628256895</v>
      </c>
      <c r="P11" s="29"/>
    </row>
    <row r="12" spans="1:16" ht="27" customHeight="1">
      <c r="A12" s="286" t="s">
        <v>366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29"/>
    </row>
    <row r="13" spans="1:16" ht="49.5" customHeight="1">
      <c r="A13" s="298" t="s">
        <v>398</v>
      </c>
      <c r="B13" s="21" t="s">
        <v>109</v>
      </c>
      <c r="C13" s="21" t="s">
        <v>293</v>
      </c>
      <c r="D13" s="82">
        <f>'Табл.3'!F8</f>
        <v>25</v>
      </c>
      <c r="E13" s="82">
        <f>D13-'Табл.6'!D15</f>
        <v>24.25</v>
      </c>
      <c r="F13" s="82">
        <f>D13-'Табл.6'!E15</f>
        <v>23.5</v>
      </c>
      <c r="G13" s="82">
        <f>D13-'Табл.6'!F15</f>
        <v>22.75</v>
      </c>
      <c r="H13" s="82">
        <f>D13-'Табл.6'!G15</f>
        <v>22</v>
      </c>
      <c r="I13" s="82">
        <f>D13-'Табл.6'!H15</f>
        <v>21.25</v>
      </c>
      <c r="J13" s="82">
        <f>D13-'Табл.6'!I15</f>
        <v>20.5</v>
      </c>
      <c r="K13" s="82">
        <f>D13-'Табл.6'!J15</f>
        <v>19.75</v>
      </c>
      <c r="L13" s="82">
        <f>D13-'Табл.6'!K15</f>
        <v>19</v>
      </c>
      <c r="M13" s="82">
        <f>D13-'Табл.6'!L15</f>
        <v>18.25</v>
      </c>
      <c r="N13" s="82">
        <f>D13-'Табл.6'!M15</f>
        <v>18.25</v>
      </c>
      <c r="O13" s="82">
        <f>D13-'Табл.6'!N15</f>
        <v>18.25</v>
      </c>
      <c r="P13" s="29"/>
    </row>
    <row r="14" spans="1:16" ht="49.5" customHeight="1">
      <c r="A14" s="298"/>
      <c r="B14" s="21" t="s">
        <v>112</v>
      </c>
      <c r="C14" s="21" t="s">
        <v>111</v>
      </c>
      <c r="D14" s="75">
        <f>'Табл.3'!G8/1000</f>
        <v>60</v>
      </c>
      <c r="E14" s="83">
        <f>E13*'Табл.3'!X27/1000</f>
        <v>60.625</v>
      </c>
      <c r="F14" s="83">
        <f>F13*'Табл.3'!X28/1000</f>
        <v>61.1</v>
      </c>
      <c r="G14" s="83">
        <f>G13*'Табл.3'!X29/1000</f>
        <v>61.425</v>
      </c>
      <c r="H14" s="83">
        <f>H13*'Табл.3'!X30/1000</f>
        <v>0</v>
      </c>
      <c r="I14" s="83">
        <f>I13*'Табл.3'!X31/1000</f>
        <v>0</v>
      </c>
      <c r="J14" s="83">
        <f>J13*'Табл.3'!X32/1000</f>
        <v>0</v>
      </c>
      <c r="K14" s="83">
        <f>K13*'Табл.3'!X33/1000</f>
        <v>0</v>
      </c>
      <c r="L14" s="83">
        <f>L13*'Табл.3'!X34/1000</f>
        <v>0</v>
      </c>
      <c r="M14" s="83">
        <f>M13*'Табл.3'!X35/1000</f>
        <v>0</v>
      </c>
      <c r="N14" s="83">
        <f>N13*'Табл.3'!X36/1000</f>
        <v>0</v>
      </c>
      <c r="O14" s="83">
        <f>O13*'Табл.3'!X37/1000</f>
        <v>0</v>
      </c>
      <c r="P14" s="29"/>
    </row>
    <row r="15" spans="1:16" ht="26.25" customHeight="1">
      <c r="A15" s="286" t="s">
        <v>312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29"/>
    </row>
    <row r="16" spans="1:16" ht="49.5" customHeight="1">
      <c r="A16" s="256">
        <v>4</v>
      </c>
      <c r="B16" s="21" t="s">
        <v>109</v>
      </c>
      <c r="C16" s="21" t="s">
        <v>98</v>
      </c>
      <c r="D16" s="38">
        <f>'Табл.3'!P8</f>
        <v>1820</v>
      </c>
      <c r="E16" s="38">
        <v>1800</v>
      </c>
      <c r="F16" s="38">
        <f>D16-'Табл.6'!E13</f>
        <v>1820</v>
      </c>
      <c r="G16" s="38">
        <f>D16-'Табл.6'!F13</f>
        <v>1804</v>
      </c>
      <c r="H16" s="38">
        <f>D16-'Табл.6'!G13</f>
        <v>1820</v>
      </c>
      <c r="I16" s="38">
        <f>D16-'Табл.6'!H13</f>
        <v>1820</v>
      </c>
      <c r="J16" s="38">
        <f>D16-'Табл.6'!I13</f>
        <v>1820</v>
      </c>
      <c r="K16" s="38">
        <f>D16-'Табл.6'!J13</f>
        <v>1820</v>
      </c>
      <c r="L16" s="38">
        <f>D16-'Табл.6'!K13</f>
        <v>1820</v>
      </c>
      <c r="M16" s="38">
        <f>D16-'Табл.6'!L13</f>
        <v>1820</v>
      </c>
      <c r="N16" s="38">
        <f>D16-'Табл.6'!M13</f>
        <v>1820</v>
      </c>
      <c r="O16" s="38">
        <f>D16-'Табл.6'!N13</f>
        <v>1820</v>
      </c>
      <c r="P16" s="29"/>
    </row>
    <row r="17" spans="1:16" ht="49.5" customHeight="1">
      <c r="A17" s="256"/>
      <c r="B17" s="21" t="s">
        <v>112</v>
      </c>
      <c r="C17" s="21" t="s">
        <v>111</v>
      </c>
      <c r="D17" s="35">
        <f>'Табл.3'!Q8/1000</f>
        <v>143.78</v>
      </c>
      <c r="E17" s="37">
        <f>E16*'Табл.3'!X7/1000</f>
        <v>144</v>
      </c>
      <c r="F17" s="37">
        <f>F16*'Табл.3'!X8/1000</f>
        <v>161.98</v>
      </c>
      <c r="G17" s="37">
        <f>G16*'Табл.3'!X9/1000</f>
        <v>162.36</v>
      </c>
      <c r="H17" s="36">
        <f>H16*'Табл.3'!X9*F34/1000</f>
        <v>181.81800000000004</v>
      </c>
      <c r="I17" s="36">
        <f>I16*'Табл.3'!X9*G34/1000</f>
        <v>200.90889000000004</v>
      </c>
      <c r="J17" s="36">
        <f>J16*'Табл.3'!X9*H34/1000</f>
        <v>220.99977900000007</v>
      </c>
      <c r="K17" s="36">
        <f>K16*'Табл.3'!X9*I34/1000</f>
        <v>241.99475800500008</v>
      </c>
      <c r="L17" s="36">
        <f>L16*'Табл.3'!X9*J34/1000</f>
        <v>263.7742862254501</v>
      </c>
      <c r="M17" s="36">
        <f>M16*'Табл.3'!X9*K34/1000</f>
        <v>286.1951005546134</v>
      </c>
      <c r="N17" s="36">
        <f>N16*'Табл.3'!X9*L34/1000</f>
        <v>309.0907085989825</v>
      </c>
      <c r="O17" s="36">
        <f>O16*'Табл.3'!X9*M34/1000</f>
        <v>332.2725117439062</v>
      </c>
      <c r="P17" s="29"/>
    </row>
    <row r="18" spans="1:15" ht="15.75">
      <c r="A18" s="289" t="s">
        <v>315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1"/>
    </row>
    <row r="19" spans="1:15" ht="47.25">
      <c r="A19" s="274">
        <v>5</v>
      </c>
      <c r="B19" s="21" t="s">
        <v>109</v>
      </c>
      <c r="C19" s="21" t="s">
        <v>98</v>
      </c>
      <c r="D19" s="111">
        <f>'Табл.3'!R8</f>
        <v>1000</v>
      </c>
      <c r="E19" s="113">
        <v>980</v>
      </c>
      <c r="F19" s="113">
        <v>970</v>
      </c>
      <c r="G19" s="113">
        <v>960</v>
      </c>
      <c r="H19" s="38">
        <f>D19-'Табл.6'!G19</f>
        <v>1000</v>
      </c>
      <c r="I19" s="38">
        <f>D19-'Табл.6'!H19</f>
        <v>1000</v>
      </c>
      <c r="J19" s="38">
        <f>D19-'Табл.6'!I19</f>
        <v>1000</v>
      </c>
      <c r="K19" s="38">
        <f>D19-'Табл.6'!J19</f>
        <v>1000</v>
      </c>
      <c r="L19" s="38">
        <f>D19-'Табл.6'!K19</f>
        <v>1000</v>
      </c>
      <c r="M19" s="38">
        <f>D19-'Табл.6'!L19</f>
        <v>1000</v>
      </c>
      <c r="N19" s="38">
        <f>D19-'Табл.6'!M19</f>
        <v>1000</v>
      </c>
      <c r="O19" s="38">
        <f>D19-'Табл.6'!N19</f>
        <v>1000</v>
      </c>
    </row>
    <row r="20" spans="1:21" ht="51" customHeight="1">
      <c r="A20" s="275"/>
      <c r="B20" s="21" t="s">
        <v>112</v>
      </c>
      <c r="C20" s="21" t="s">
        <v>111</v>
      </c>
      <c r="D20" s="111">
        <f>'Табл.3'!S8/1000</f>
        <v>200</v>
      </c>
      <c r="E20" s="37">
        <f>E19*'Табл.3'!Y7/1000</f>
        <v>0</v>
      </c>
      <c r="F20" s="37">
        <f>F19*'Табл.3'!Y8/1000</f>
        <v>0</v>
      </c>
      <c r="G20" s="37">
        <f>G19*'Табл.3'!Y9/1000</f>
        <v>0</v>
      </c>
      <c r="H20" s="37">
        <f>H19*'Табл.3'!Y9*F34/1000</f>
        <v>0</v>
      </c>
      <c r="I20" s="37">
        <f>I19*'Табл.3'!Y9*G34/1000</f>
        <v>0</v>
      </c>
      <c r="J20" s="37">
        <f>J19*'Табл.3'!Y9*H34/1000</f>
        <v>0</v>
      </c>
      <c r="K20" s="37">
        <f>K19*'Табл.3'!Y9*I34/1000</f>
        <v>0</v>
      </c>
      <c r="L20" s="37">
        <f>L19*'Табл.3'!Y9*J34/1000</f>
        <v>0</v>
      </c>
      <c r="M20" s="37">
        <f>M19*'Табл.3'!Y9*K34/1000</f>
        <v>0</v>
      </c>
      <c r="N20" s="37">
        <f>N19*'Табл.3'!Y9*L34/1000</f>
        <v>0</v>
      </c>
      <c r="O20" s="37">
        <f>O19*'Табл.3'!Y9*M34/1000</f>
        <v>0</v>
      </c>
      <c r="U20" s="110"/>
    </row>
    <row r="21" spans="1:21" ht="15.75">
      <c r="A21" s="292" t="s">
        <v>313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3"/>
      <c r="U21" s="110"/>
    </row>
    <row r="22" spans="1:15" ht="47.25" customHeight="1">
      <c r="A22" s="274">
        <v>6</v>
      </c>
      <c r="B22" s="21" t="s">
        <v>109</v>
      </c>
      <c r="C22" s="101" t="s">
        <v>114</v>
      </c>
      <c r="D22" s="112">
        <f>'Табл.3'!H8</f>
        <v>1000</v>
      </c>
      <c r="E22" s="113">
        <v>980</v>
      </c>
      <c r="F22" s="113">
        <v>970</v>
      </c>
      <c r="G22" s="113">
        <v>960</v>
      </c>
      <c r="H22" s="38">
        <f>D22-'Табл.6'!G22</f>
        <v>1000</v>
      </c>
      <c r="I22" s="38">
        <f>D22-'Табл.6'!H22</f>
        <v>1000</v>
      </c>
      <c r="J22" s="38">
        <f>D22-'Табл.6'!I22</f>
        <v>1000</v>
      </c>
      <c r="K22" s="38">
        <f>D22-'Табл.6'!J22</f>
        <v>1000</v>
      </c>
      <c r="L22" s="38">
        <f>D22-'Табл.6'!K22</f>
        <v>1000</v>
      </c>
      <c r="M22" s="38">
        <f>D22-'Табл.6'!L22</f>
        <v>1000</v>
      </c>
      <c r="N22" s="38">
        <f>D22-'Табл.6'!M22</f>
        <v>1000</v>
      </c>
      <c r="O22" s="38">
        <f>D22-'Табл.6'!N22</f>
        <v>1000</v>
      </c>
    </row>
    <row r="23" spans="1:15" ht="47.25" customHeight="1">
      <c r="A23" s="275"/>
      <c r="B23" s="21" t="s">
        <v>112</v>
      </c>
      <c r="C23" s="21" t="s">
        <v>111</v>
      </c>
      <c r="D23" s="112">
        <f>'Табл.3'!I8/1000</f>
        <v>500</v>
      </c>
      <c r="E23" s="37">
        <f>E22*'Табл.3'!Y27/1000</f>
        <v>0</v>
      </c>
      <c r="F23" s="37">
        <f>F22*'Табл.3'!Y28/1000</f>
        <v>0</v>
      </c>
      <c r="G23" s="37">
        <f>G22*'Табл.3'!Y29/1000</f>
        <v>0</v>
      </c>
      <c r="H23" s="37">
        <f>H22*'Табл.3'!Y30/1000</f>
        <v>0</v>
      </c>
      <c r="I23" s="37">
        <f>I22*'Табл.3'!Y31/1000</f>
        <v>0</v>
      </c>
      <c r="J23" s="37">
        <f>J22*'Табл.3'!Y32/1000</f>
        <v>0</v>
      </c>
      <c r="K23" s="37">
        <f>K22*'Табл.3'!Y33/1000</f>
        <v>0</v>
      </c>
      <c r="L23" s="37">
        <f>L22*'Табл.3'!Y34/1000</f>
        <v>0</v>
      </c>
      <c r="M23" s="37">
        <f>M22*'Табл.3'!Y35/1000</f>
        <v>0</v>
      </c>
      <c r="N23" s="37">
        <f>N22*'Табл.3'!Y36/1000</f>
        <v>0</v>
      </c>
      <c r="O23" s="37">
        <f>O22*'Табл.3'!Y37/1000</f>
        <v>0</v>
      </c>
    </row>
    <row r="24" spans="1:15" ht="29.25" customHeight="1">
      <c r="A24" s="294" t="s">
        <v>314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5"/>
    </row>
    <row r="25" spans="1:15" ht="47.25">
      <c r="A25" s="274">
        <v>7</v>
      </c>
      <c r="B25" s="21" t="s">
        <v>109</v>
      </c>
      <c r="C25" s="101" t="s">
        <v>98</v>
      </c>
      <c r="D25" s="113">
        <f>'Табл.3'!B8</f>
        <v>1000</v>
      </c>
      <c r="E25" s="113">
        <v>980</v>
      </c>
      <c r="F25" s="113">
        <v>970</v>
      </c>
      <c r="G25" s="113">
        <v>960</v>
      </c>
      <c r="H25" s="38">
        <f>D25-'Табл.6'!G25</f>
        <v>1000</v>
      </c>
      <c r="I25" s="38">
        <f>D25-'Табл.6'!H25</f>
        <v>1000</v>
      </c>
      <c r="J25" s="38">
        <f>D25-'Табл.6'!I25</f>
        <v>1000</v>
      </c>
      <c r="K25" s="38">
        <f>D25-'Табл.6'!J25</f>
        <v>1000</v>
      </c>
      <c r="L25" s="38">
        <f>D25-'Табл.6'!K25</f>
        <v>1000</v>
      </c>
      <c r="M25" s="38">
        <f>D25-'Табл.6'!L25</f>
        <v>1000</v>
      </c>
      <c r="N25" s="38">
        <f>D25-'Табл.6'!M25</f>
        <v>1000</v>
      </c>
      <c r="O25" s="38">
        <f>D25-'Табл.6'!N25</f>
        <v>1000</v>
      </c>
    </row>
    <row r="26" spans="1:15" ht="54.75" customHeight="1">
      <c r="A26" s="275"/>
      <c r="B26" s="21" t="s">
        <v>112</v>
      </c>
      <c r="C26" s="21" t="s">
        <v>111</v>
      </c>
      <c r="D26" s="113">
        <f>'Табл.3'!C8/1000</f>
        <v>200</v>
      </c>
      <c r="E26" s="37">
        <f>E25*'Табл.3'!V27/1000</f>
        <v>0</v>
      </c>
      <c r="F26" s="37">
        <f>F25*'Табл.3'!V28/1000</f>
        <v>0</v>
      </c>
      <c r="G26" s="37">
        <f>G25*'Табл.3'!V29/1000</f>
        <v>0</v>
      </c>
      <c r="H26" s="37">
        <f>H25*'Табл.3'!V29*F34/1000</f>
        <v>0</v>
      </c>
      <c r="I26" s="37">
        <f>I25*'Табл.3'!V29*G34/1000</f>
        <v>0</v>
      </c>
      <c r="J26" s="37">
        <f>J25*'Табл.3'!V29*H34/1000</f>
        <v>0</v>
      </c>
      <c r="K26" s="37">
        <f>K25*'Табл.3'!V29*I34/1000</f>
        <v>0</v>
      </c>
      <c r="L26" s="37">
        <f>L25*'Табл.3'!V29*J34/1000</f>
        <v>0</v>
      </c>
      <c r="M26" s="37">
        <f>M25*'Табл.3'!V29*K34/1000</f>
        <v>0</v>
      </c>
      <c r="N26" s="37">
        <f>N25*'Табл.3'!V29*L34/1000</f>
        <v>0</v>
      </c>
      <c r="O26" s="37">
        <f>O25*'Табл.3'!V29*M34/1000</f>
        <v>0</v>
      </c>
    </row>
    <row r="27" spans="1:13" ht="15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6:18" ht="15.75">
      <c r="F28" s="284" t="s">
        <v>124</v>
      </c>
      <c r="G28" s="284"/>
      <c r="H28" s="284"/>
      <c r="I28" s="284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3" ht="15.75">
      <c r="A29" s="297"/>
      <c r="B29" s="297"/>
      <c r="C29" s="22"/>
      <c r="D29" s="22"/>
      <c r="E29" s="22"/>
      <c r="F29" s="285" t="s">
        <v>125</v>
      </c>
      <c r="G29" s="285"/>
      <c r="H29" s="285"/>
      <c r="I29" s="285"/>
      <c r="J29" s="126"/>
      <c r="K29" s="126"/>
      <c r="L29" s="126"/>
      <c r="M29" s="126"/>
    </row>
    <row r="30" spans="1:13" ht="66.75" customHeight="1">
      <c r="A30" s="280" t="s">
        <v>126</v>
      </c>
      <c r="B30" s="281"/>
      <c r="C30" s="17">
        <v>2010</v>
      </c>
      <c r="D30" s="17">
        <v>2011</v>
      </c>
      <c r="E30" s="17">
        <v>2012</v>
      </c>
      <c r="F30" s="115">
        <v>2013</v>
      </c>
      <c r="G30" s="115">
        <v>2014</v>
      </c>
      <c r="H30" s="115">
        <v>2015</v>
      </c>
      <c r="I30" s="115">
        <v>2016</v>
      </c>
      <c r="J30" s="127">
        <v>2017</v>
      </c>
      <c r="K30" s="127">
        <v>2018</v>
      </c>
      <c r="L30" s="127">
        <v>2019</v>
      </c>
      <c r="M30" s="127">
        <v>2020</v>
      </c>
    </row>
    <row r="31" spans="1:16" ht="30.75" customHeight="1">
      <c r="A31" s="282"/>
      <c r="B31" s="283"/>
      <c r="C31" s="57">
        <v>114.4</v>
      </c>
      <c r="D31" s="57">
        <v>115.5</v>
      </c>
      <c r="E31" s="57">
        <v>112.8</v>
      </c>
      <c r="F31" s="57">
        <v>111</v>
      </c>
      <c r="G31" s="57">
        <v>110.5</v>
      </c>
      <c r="H31" s="57">
        <v>110</v>
      </c>
      <c r="I31" s="57">
        <v>109.5</v>
      </c>
      <c r="J31" s="57">
        <v>109</v>
      </c>
      <c r="K31" s="57">
        <v>108.5</v>
      </c>
      <c r="L31" s="57">
        <v>108</v>
      </c>
      <c r="M31" s="57">
        <v>107.5</v>
      </c>
      <c r="P31" s="106"/>
    </row>
    <row r="32" spans="3:13" ht="15.7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4" spans="1:13" ht="30.75" customHeight="1">
      <c r="A34" s="29"/>
      <c r="B34" s="29"/>
      <c r="C34" s="29"/>
      <c r="D34" s="29"/>
      <c r="E34" s="29"/>
      <c r="F34" s="128">
        <f>F31/100</f>
        <v>1.11</v>
      </c>
      <c r="G34" s="128">
        <f>F31/100*G31/100</f>
        <v>1.2265500000000003</v>
      </c>
      <c r="H34" s="128">
        <f>F31/100*G31/100*H31/100</f>
        <v>1.3492050000000004</v>
      </c>
      <c r="I34" s="128">
        <f>F31/100*G31/100*H31/100*I31/100</f>
        <v>1.4773794750000004</v>
      </c>
      <c r="J34" s="128">
        <f>F31/100*G31/100*H31/100*I31/100*J31/100</f>
        <v>1.6103436277500007</v>
      </c>
      <c r="K34" s="128">
        <f>F31/100*G31/100*H31/100*I31/100*J31/100*K31/100</f>
        <v>1.7472228361087507</v>
      </c>
      <c r="L34" s="128">
        <f>F31/100*G31/100*H31/100*I31/100*J31/100*K31/100*L31/100</f>
        <v>1.887000662997451</v>
      </c>
      <c r="M34" s="128">
        <f>F31/100*G31/100*H31/100*I31/100*J31/100*K31/100*L31/100*M31/100</f>
        <v>2.02852571272226</v>
      </c>
    </row>
    <row r="36" spans="1:13" ht="42" customHeight="1">
      <c r="A36" s="296" t="s">
        <v>318</v>
      </c>
      <c r="B36" s="296"/>
      <c r="C36" s="296"/>
      <c r="D36" s="157">
        <v>100</v>
      </c>
      <c r="E36" s="122">
        <v>111.472</v>
      </c>
      <c r="F36" s="122">
        <v>102.26</v>
      </c>
      <c r="G36" s="124">
        <v>105.072</v>
      </c>
      <c r="H36" s="125">
        <v>105</v>
      </c>
      <c r="I36" s="123">
        <v>107.424205177449</v>
      </c>
      <c r="J36" s="123">
        <v>107.374203628553</v>
      </c>
      <c r="K36" s="123">
        <v>107.388373550482</v>
      </c>
      <c r="L36" s="123">
        <v>105.786679104289</v>
      </c>
      <c r="M36" s="123">
        <v>105.311564679114</v>
      </c>
    </row>
    <row r="38" spans="6:13" ht="42.75" customHeight="1">
      <c r="F38" s="128">
        <f>F36/100</f>
        <v>1.0226</v>
      </c>
      <c r="G38" s="128">
        <f>F36/100*G36/100</f>
        <v>1.074466272</v>
      </c>
      <c r="H38" s="128">
        <f>F36/100*G36/100*H36/100</f>
        <v>1.1281895856</v>
      </c>
      <c r="I38" s="128">
        <f>F36/100*G36/100*H36/100*I36/100</f>
        <v>1.2119486952255556</v>
      </c>
      <c r="J38" s="128">
        <f>F36/100*G36/100*H36/100*I36/100*J36/100</f>
        <v>1.3013202598850793</v>
      </c>
      <c r="K38" s="128">
        <f>F36/100*G36/100*H36/100*I36/100*J36/100*K36/100</f>
        <v>1.3974666617734919</v>
      </c>
      <c r="L38" s="128">
        <f>F36/100*G36/100*H36/100*I36/100*J36/100*K36/100*L36/100</f>
        <v>1.4783335730797436</v>
      </c>
      <c r="M38" s="128">
        <f>F36/100*G36/100*H36/100*I36/100*J36/100*K36/100*L36/100*M36/100</f>
        <v>1.5568562169869313</v>
      </c>
    </row>
    <row r="43" ht="15.75">
      <c r="K43" s="114"/>
    </row>
  </sheetData>
  <sheetProtection/>
  <mergeCells count="25">
    <mergeCell ref="A36:C36"/>
    <mergeCell ref="A1:O1"/>
    <mergeCell ref="A6:O6"/>
    <mergeCell ref="A29:B29"/>
    <mergeCell ref="A10:A11"/>
    <mergeCell ref="A16:A17"/>
    <mergeCell ref="A13:A14"/>
    <mergeCell ref="A15:O15"/>
    <mergeCell ref="A7:A8"/>
    <mergeCell ref="A4:A5"/>
    <mergeCell ref="A30:B31"/>
    <mergeCell ref="F28:I28"/>
    <mergeCell ref="F29:I29"/>
    <mergeCell ref="A12:O12"/>
    <mergeCell ref="A25:A26"/>
    <mergeCell ref="A18:O18"/>
    <mergeCell ref="A21:O21"/>
    <mergeCell ref="A24:O24"/>
    <mergeCell ref="A19:A20"/>
    <mergeCell ref="A22:A23"/>
    <mergeCell ref="B4:B5"/>
    <mergeCell ref="C4:C5"/>
    <mergeCell ref="D4:O4"/>
    <mergeCell ref="A9:O9"/>
    <mergeCell ref="F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ignoredErrors>
    <ignoredError sqref="A13 A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O18"/>
  <sheetViews>
    <sheetView view="pageBreakPreview" zoomScaleSheetLayoutView="100" zoomScalePageLayoutView="0" workbookViewId="0" topLeftCell="A1">
      <selection activeCell="A13" sqref="A13:O13"/>
    </sheetView>
  </sheetViews>
  <sheetFormatPr defaultColWidth="9.140625" defaultRowHeight="15"/>
  <cols>
    <col min="1" max="1" width="4.7109375" style="2" customWidth="1"/>
    <col min="2" max="2" width="15.28125" style="2" customWidth="1"/>
    <col min="3" max="3" width="12.7109375" style="2" customWidth="1"/>
    <col min="4" max="4" width="9.7109375" style="2" bestFit="1" customWidth="1"/>
    <col min="5" max="9" width="9.140625" style="2" customWidth="1"/>
    <col min="10" max="10" width="11.7109375" style="2" customWidth="1"/>
    <col min="11" max="16384" width="9.140625" style="2" customWidth="1"/>
  </cols>
  <sheetData>
    <row r="1" spans="1:15" ht="21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1" ht="15.75" customHeight="1">
      <c r="A2" s="30"/>
      <c r="B2" s="30"/>
      <c r="C2" s="30"/>
      <c r="D2" s="273" t="s">
        <v>335</v>
      </c>
      <c r="E2" s="273"/>
      <c r="F2" s="273"/>
      <c r="G2" s="273"/>
      <c r="H2" s="273"/>
      <c r="I2" s="273"/>
      <c r="J2" s="273"/>
      <c r="K2" s="273"/>
    </row>
    <row r="3" spans="1:15" ht="17.25">
      <c r="A3" s="301"/>
      <c r="B3" s="301"/>
      <c r="C3" s="301"/>
      <c r="D3" s="301"/>
      <c r="E3" s="301"/>
      <c r="F3" s="301"/>
      <c r="G3" s="301"/>
      <c r="H3" s="301"/>
      <c r="I3" s="301"/>
      <c r="N3" s="303" t="s">
        <v>129</v>
      </c>
      <c r="O3" s="303"/>
    </row>
    <row r="4" spans="1:15" ht="22.5" customHeight="1">
      <c r="A4" s="302"/>
      <c r="B4" s="302"/>
      <c r="C4" s="302"/>
      <c r="D4" s="19">
        <v>2009</v>
      </c>
      <c r="E4" s="19">
        <v>2010</v>
      </c>
      <c r="F4" s="19">
        <v>2011</v>
      </c>
      <c r="G4" s="19">
        <v>2012</v>
      </c>
      <c r="H4" s="19">
        <v>2013</v>
      </c>
      <c r="I4" s="19">
        <v>2014</v>
      </c>
      <c r="J4" s="19">
        <v>2015</v>
      </c>
      <c r="K4" s="19">
        <v>2016</v>
      </c>
      <c r="L4" s="19">
        <v>2017</v>
      </c>
      <c r="M4" s="19">
        <v>2018</v>
      </c>
      <c r="N4" s="19">
        <v>2019</v>
      </c>
      <c r="O4" s="19">
        <v>2020</v>
      </c>
    </row>
    <row r="5" spans="1:15" ht="17.25" customHeight="1">
      <c r="A5" s="261" t="s">
        <v>130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3"/>
    </row>
    <row r="6" spans="1:15" ht="52.5" customHeight="1">
      <c r="A6" s="19">
        <v>1</v>
      </c>
      <c r="B6" s="21" t="s">
        <v>131</v>
      </c>
      <c r="C6" s="101" t="s">
        <v>135</v>
      </c>
      <c r="D6" s="32">
        <f>'Табл.7'!D10/'Табл.3'!K16</f>
        <v>6.08044901777362</v>
      </c>
      <c r="E6" s="32">
        <f>'Табл.7'!E10/'Табл.3'!K16</f>
        <v>6.068755846585594</v>
      </c>
      <c r="F6" s="32">
        <f>'Табл.7'!F10/'Табл.3'!K16</f>
        <v>6.067586529466791</v>
      </c>
      <c r="G6" s="32">
        <f>'Табл.7'!G10/'Табл.3'!K16</f>
        <v>5.957670720299345</v>
      </c>
      <c r="H6" s="32">
        <f>'Табл.7'!H10/'Табл.3'!K16</f>
        <v>6.065247895229186</v>
      </c>
      <c r="I6" s="32">
        <f>'Табл.7'!I10/'Табл.3'!K16</f>
        <v>4.66089803554724</v>
      </c>
      <c r="J6" s="32">
        <f>'Табл.7'!J10/'Табл.3'!K16</f>
        <v>6.062909260991581</v>
      </c>
      <c r="K6" s="32">
        <f>'Табл.7'!K10/'Табл.3'!K16</f>
        <v>6.061739943872778</v>
      </c>
      <c r="L6" s="32">
        <f>'Табл.7'!L10/'Табл.3'!K16</f>
        <v>6.060570626753975</v>
      </c>
      <c r="M6" s="32">
        <f>'Табл.7'!M10/'Табл.3'!K16</f>
        <v>6.059401309635173</v>
      </c>
      <c r="N6" s="32">
        <f>'Табл.7'!N10/'Табл.3'!K16</f>
        <v>6.05823199251637</v>
      </c>
      <c r="O6" s="32">
        <f>'Табл.7'!O10/'Табл.3'!K16</f>
        <v>6.057062675397567</v>
      </c>
    </row>
    <row r="7" spans="1:15" ht="17.25" customHeight="1">
      <c r="A7" s="261" t="s">
        <v>132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</row>
    <row r="8" spans="1:15" ht="52.5" customHeight="1">
      <c r="A8" s="19">
        <v>2</v>
      </c>
      <c r="B8" s="21" t="s">
        <v>294</v>
      </c>
      <c r="C8" s="101" t="s">
        <v>63</v>
      </c>
      <c r="D8" s="33">
        <f>'Табл.7'!D7/('Табл.3'!K23+'Табл.3'!K24)*1000</f>
        <v>458.3850931677018</v>
      </c>
      <c r="E8" s="33">
        <f>'Табл.7'!E7/('Табл.3'!K23+'Табл.3'!K24)*1000</f>
        <v>465.21739130434787</v>
      </c>
      <c r="F8" s="33">
        <f>'Табл.7'!F7/('Табл.3'!K23+'Табл.3'!K24)*1000</f>
        <v>451.2422360248448</v>
      </c>
      <c r="G8" s="33">
        <f>'Табл.7'!G7/('Табл.3'!K23+'Табл.3'!K24)*1000</f>
        <v>458.3850931677018</v>
      </c>
      <c r="H8" s="33">
        <f>'Табл.7'!H7/('Табл.3'!K23+'Табл.3'!K24)*1000</f>
        <v>359.00621118012424</v>
      </c>
      <c r="I8" s="33">
        <f>'Табл.7'!I7/('Табл.3'!K23+'Табл.3'!K24)*1000</f>
        <v>458.3850931677018</v>
      </c>
      <c r="J8" s="33">
        <f>'Табл.7'!J7/('Табл.3'!K23+'Табл.3'!K24)*1000</f>
        <v>458.3850931677018</v>
      </c>
      <c r="K8" s="33">
        <f>'Табл.7'!K7/('Табл.3'!K23+'Табл.3'!K24)*1000</f>
        <v>458.3850931677018</v>
      </c>
      <c r="L8" s="33">
        <f>'Табл.7'!L7/('Табл.3'!K23+'Табл.3'!K24)*1000</f>
        <v>458.3850931677018</v>
      </c>
      <c r="M8" s="33">
        <f>'Табл.7'!M7/('Табл.3'!K23+'Табл.3'!K24)*1000</f>
        <v>458.3850931677018</v>
      </c>
      <c r="N8" s="33">
        <f>'Табл.7'!N7/('Табл.3'!K23+'Табл.3'!K24)*1000</f>
        <v>458.3850931677018</v>
      </c>
      <c r="O8" s="33">
        <f>'Табл.7'!O7/('Табл.3'!K23+'Табл.3'!K24)*1000</f>
        <v>458.3850931677018</v>
      </c>
    </row>
    <row r="9" spans="1:15" ht="17.25" customHeight="1">
      <c r="A9" s="261" t="s">
        <v>367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3"/>
    </row>
    <row r="10" spans="1:15" ht="52.5" customHeight="1">
      <c r="A10" s="19">
        <v>3</v>
      </c>
      <c r="B10" s="21" t="s">
        <v>133</v>
      </c>
      <c r="C10" s="101" t="s">
        <v>134</v>
      </c>
      <c r="D10" s="33">
        <f>'Табл.7'!D16/('Табл.3'!K23+'Табл.3'!K24)</f>
        <v>5.6521739130434785</v>
      </c>
      <c r="E10" s="33">
        <f>'Табл.7'!E16/('Табл.3'!K23+'Табл.3'!K24)</f>
        <v>5.590062111801243</v>
      </c>
      <c r="F10" s="33">
        <f>'Табл.7'!F16/('Табл.3'!K23+'Табл.3'!K24)</f>
        <v>5.6521739130434785</v>
      </c>
      <c r="G10" s="33">
        <f>'Табл.7'!G16/('Табл.3'!K23+'Табл.3'!K24)</f>
        <v>5.60248447204969</v>
      </c>
      <c r="H10" s="33">
        <f>'Табл.7'!H16/('Табл.3'!K23+'Табл.3'!K24)</f>
        <v>5.6521739130434785</v>
      </c>
      <c r="I10" s="33">
        <f>'Табл.7'!I16/('Табл.3'!K23+'Табл.3'!K24)</f>
        <v>5.6521739130434785</v>
      </c>
      <c r="J10" s="33">
        <f>'Табл.7'!J16/('Табл.3'!K23+'Табл.3'!K24)</f>
        <v>5.6521739130434785</v>
      </c>
      <c r="K10" s="33">
        <f>'Табл.7'!K16/('Табл.3'!K23+'Табл.3'!K24)</f>
        <v>5.6521739130434785</v>
      </c>
      <c r="L10" s="33">
        <f>'Табл.7'!L16/('Табл.3'!K23+'Табл.3'!K24)</f>
        <v>5.6521739130434785</v>
      </c>
      <c r="M10" s="33">
        <f>'Табл.7'!M16/('Табл.3'!K23+'Табл.3'!K24)</f>
        <v>5.6521739130434785</v>
      </c>
      <c r="N10" s="33">
        <f>'Табл.7'!N16/('Табл.3'!K23+'Табл.3'!K24)</f>
        <v>5.6521739130434785</v>
      </c>
      <c r="O10" s="33">
        <f>'Табл.7'!O16/('Табл.3'!K23+'Табл.3'!K24)</f>
        <v>5.6521739130434785</v>
      </c>
    </row>
    <row r="11" spans="1:15" ht="17.25" customHeight="1">
      <c r="A11" s="261" t="s">
        <v>308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</row>
    <row r="12" spans="1:15" ht="48" customHeight="1">
      <c r="A12" s="19">
        <v>4</v>
      </c>
      <c r="B12" s="21" t="s">
        <v>131</v>
      </c>
      <c r="C12" s="101" t="s">
        <v>223</v>
      </c>
      <c r="D12" s="33">
        <f>'Табл.7'!D13/('Табл.3'!K16)</f>
        <v>0.02923292797006548</v>
      </c>
      <c r="E12" s="33">
        <f>'Табл.7'!E13/('Табл.3'!K16)</f>
        <v>0.028355940130963517</v>
      </c>
      <c r="F12" s="33">
        <f>'Табл.7'!F13/('Табл.3'!K16)</f>
        <v>0.02747895229186155</v>
      </c>
      <c r="G12" s="33">
        <f>'Табл.7'!G13/('Табл.3'!K16)</f>
        <v>0.026601964452759586</v>
      </c>
      <c r="H12" s="33">
        <f>'Табл.7'!H13/('Табл.3'!K16)</f>
        <v>0.02572497661365762</v>
      </c>
      <c r="I12" s="33">
        <f>'Табл.7'!I13/('Табл.3'!K16)</f>
        <v>0.024847988774555657</v>
      </c>
      <c r="J12" s="108">
        <f>'Табл.7'!J13/('Табл.3'!K16)</f>
        <v>0.023971000935453693</v>
      </c>
      <c r="K12" s="33">
        <f>'Табл.7'!K13/('Табл.3'!K16)</f>
        <v>0.02309401309635173</v>
      </c>
      <c r="L12" s="33">
        <f>'Табл.7'!L13/('Табл.3'!K16)</f>
        <v>0.022217025257249765</v>
      </c>
      <c r="M12" s="33">
        <f>'Табл.7'!M13/('Табл.3'!K16)</f>
        <v>0.0213400374181478</v>
      </c>
      <c r="N12" s="33">
        <f>'Табл.7'!N13/('Табл.3'!K16)</f>
        <v>0.0213400374181478</v>
      </c>
      <c r="O12" s="33">
        <f>'Табл.7'!O13/('Табл.3'!K16)</f>
        <v>0.0213400374181478</v>
      </c>
    </row>
    <row r="13" spans="1:15" ht="17.25">
      <c r="A13" s="261" t="s">
        <v>307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ht="46.5" customHeight="1">
      <c r="A14" s="107">
        <v>5</v>
      </c>
      <c r="B14" s="21" t="s">
        <v>131</v>
      </c>
      <c r="C14" s="101" t="s">
        <v>223</v>
      </c>
      <c r="D14" s="33">
        <f>'Табл.7'!D22/('Табл.3'!K16)</f>
        <v>1.1693171188026192</v>
      </c>
      <c r="E14" s="33">
        <f>'Табл.7'!E22/('Табл.3'!K16)</f>
        <v>1.145930776426567</v>
      </c>
      <c r="F14" s="33">
        <f>'Табл.7'!F22/('Табл.3'!K16)</f>
        <v>1.1342376052385406</v>
      </c>
      <c r="G14" s="33">
        <f>'Табл.7'!G22/('Табл.3'!K16)</f>
        <v>1.1225444340505144</v>
      </c>
      <c r="H14" s="33">
        <f>'Табл.7'!H22/('Табл.3'!K16)</f>
        <v>1.1693171188026192</v>
      </c>
      <c r="I14" s="33">
        <f>'Табл.7'!I22/('Табл.3'!K16)</f>
        <v>1.1693171188026192</v>
      </c>
      <c r="J14" s="33">
        <f>'Табл.7'!J22/('Табл.3'!K16)</f>
        <v>1.1693171188026192</v>
      </c>
      <c r="K14" s="33">
        <f>'Табл.7'!K22/('Табл.3'!K16)</f>
        <v>1.1693171188026192</v>
      </c>
      <c r="L14" s="33">
        <f>'Табл.7'!L22/('Табл.3'!K16)</f>
        <v>1.1693171188026192</v>
      </c>
      <c r="M14" s="33">
        <f>'Табл.7'!M22/('Табл.3'!K16)</f>
        <v>1.1693171188026192</v>
      </c>
      <c r="N14" s="33">
        <f>'Табл.7'!N22/('Табл.3'!K16)</f>
        <v>1.1693171188026192</v>
      </c>
      <c r="O14" s="33">
        <f>'Табл.7'!O22/('Табл.3'!K16)</f>
        <v>1.1693171188026192</v>
      </c>
    </row>
    <row r="15" spans="1:15" ht="17.25">
      <c r="A15" s="304" t="s">
        <v>309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/>
    </row>
    <row r="16" spans="1:15" ht="42" customHeight="1">
      <c r="A16" s="107">
        <v>6</v>
      </c>
      <c r="B16" s="21" t="s">
        <v>133</v>
      </c>
      <c r="C16" s="101" t="s">
        <v>134</v>
      </c>
      <c r="D16" s="33">
        <f>'Табл.7'!D19/('Табл.3'!K23+'Табл.3'!K24)</f>
        <v>3.1055900621118013</v>
      </c>
      <c r="E16" s="33">
        <f>'Табл.7'!E19/('Табл.3'!K23+'Табл.3'!K24)</f>
        <v>3.0434782608695654</v>
      </c>
      <c r="F16" s="33">
        <f>'Табл.7'!F19/('Табл.3'!K23+'Табл.3'!K24)</f>
        <v>3.012422360248447</v>
      </c>
      <c r="G16" s="33">
        <f>'Табл.7'!G19/('Табл.3'!K23+'Табл.3'!K24)</f>
        <v>2.981366459627329</v>
      </c>
      <c r="H16" s="33">
        <f>'Табл.7'!H19/('Табл.3'!K23+'Табл.3'!K24)</f>
        <v>3.1055900621118013</v>
      </c>
      <c r="I16" s="33">
        <f>'Табл.7'!I19/('Табл.3'!K23+'Табл.3'!K24)</f>
        <v>3.1055900621118013</v>
      </c>
      <c r="J16" s="33">
        <f>'Табл.7'!J19/('Табл.3'!K23+'Табл.3'!K24)</f>
        <v>3.1055900621118013</v>
      </c>
      <c r="K16" s="33">
        <f>'Табл.7'!K19/('Табл.3'!K23+'Табл.3'!K24)</f>
        <v>3.1055900621118013</v>
      </c>
      <c r="L16" s="33">
        <f>'Табл.7'!L19/('Табл.3'!K23+'Табл.3'!K24)</f>
        <v>3.1055900621118013</v>
      </c>
      <c r="M16" s="33">
        <f>'Табл.7'!M19/('Табл.3'!K23+'Табл.3'!K24)</f>
        <v>3.1055900621118013</v>
      </c>
      <c r="N16" s="33">
        <f>'Табл.7'!N19/('Табл.3'!K23+'Табл.3'!K24)</f>
        <v>3.1055900621118013</v>
      </c>
      <c r="O16" s="33">
        <f>'Табл.7'!O19/('Табл.3'!K23+'Табл.3'!K24)</f>
        <v>3.1055900621118013</v>
      </c>
    </row>
    <row r="17" spans="1:15" ht="17.25">
      <c r="A17" s="299" t="s">
        <v>310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</row>
    <row r="18" spans="1:15" ht="48" customHeight="1">
      <c r="A18" s="107">
        <v>7</v>
      </c>
      <c r="B18" s="21" t="s">
        <v>131</v>
      </c>
      <c r="C18" s="101" t="s">
        <v>311</v>
      </c>
      <c r="D18" s="33">
        <f>'Табл.7'!D25/'Табл.3'!K16</f>
        <v>1.1693171188026192</v>
      </c>
      <c r="E18" s="33">
        <f>'Табл.7'!E25/'Табл.3'!K16</f>
        <v>1.145930776426567</v>
      </c>
      <c r="F18" s="33">
        <f>'Табл.7'!F25/'Табл.3'!K16</f>
        <v>1.1342376052385406</v>
      </c>
      <c r="G18" s="33">
        <f>'Табл.7'!G25/'Табл.3'!K16</f>
        <v>1.1225444340505144</v>
      </c>
      <c r="H18" s="33">
        <f>'Табл.7'!H25/'Табл.3'!K16</f>
        <v>1.1693171188026192</v>
      </c>
      <c r="I18" s="33">
        <f>'Табл.7'!I25/'Табл.3'!K16</f>
        <v>1.1693171188026192</v>
      </c>
      <c r="J18" s="33">
        <f>'Табл.7'!J25/'Табл.3'!K16</f>
        <v>1.1693171188026192</v>
      </c>
      <c r="K18" s="33">
        <f>'Табл.7'!K25/'Табл.3'!K16</f>
        <v>1.1693171188026192</v>
      </c>
      <c r="L18" s="33">
        <f>'Табл.7'!L25/'Табл.3'!K16</f>
        <v>1.1693171188026192</v>
      </c>
      <c r="M18" s="33">
        <f>'Табл.7'!M25/'Табл.3'!K16</f>
        <v>1.1693171188026192</v>
      </c>
      <c r="N18" s="33">
        <f>'Табл.7'!N25/'Табл.3'!K16</f>
        <v>1.1693171188026192</v>
      </c>
      <c r="O18" s="33">
        <f>'Табл.7'!O25/'Табл.3'!K16</f>
        <v>1.1693171188026192</v>
      </c>
    </row>
  </sheetData>
  <sheetProtection/>
  <mergeCells count="12">
    <mergeCell ref="A13:O13"/>
    <mergeCell ref="A15:O15"/>
    <mergeCell ref="A17:O17"/>
    <mergeCell ref="A1:O1"/>
    <mergeCell ref="A11:O11"/>
    <mergeCell ref="A3:I3"/>
    <mergeCell ref="A4:C4"/>
    <mergeCell ref="A5:O5"/>
    <mergeCell ref="D2:K2"/>
    <mergeCell ref="A7:O7"/>
    <mergeCell ref="A9:O9"/>
    <mergeCell ref="N3:O3"/>
  </mergeCells>
  <printOptions/>
  <pageMargins left="0.4724409448818898" right="0.3937007874015748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L33"/>
  <sheetViews>
    <sheetView view="pageBreakPreview" zoomScale="90" zoomScaleSheetLayoutView="90" zoomScalePageLayoutView="0" workbookViewId="0" topLeftCell="A10">
      <selection activeCell="E15" sqref="E15:I15"/>
    </sheetView>
  </sheetViews>
  <sheetFormatPr defaultColWidth="9.140625" defaultRowHeight="15"/>
  <cols>
    <col min="1" max="1" width="9.140625" style="1" customWidth="1"/>
    <col min="2" max="2" width="11.140625" style="1" customWidth="1"/>
    <col min="3" max="11" width="9.140625" style="1" customWidth="1"/>
    <col min="12" max="12" width="13.57421875" style="1" customWidth="1"/>
    <col min="13" max="14" width="9.140625" style="1" customWidth="1"/>
    <col min="15" max="15" width="26.00390625" style="1" customWidth="1"/>
    <col min="16" max="16384" width="9.140625" style="1" customWidth="1"/>
  </cols>
  <sheetData>
    <row r="1" spans="1:12" ht="18" customHeight="1">
      <c r="A1" s="203" t="s">
        <v>136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7.25">
      <c r="A3" s="306" t="s">
        <v>376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81" customHeight="1">
      <c r="A4" s="170" t="s">
        <v>137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333.75" customHeight="1">
      <c r="A5" s="170" t="s">
        <v>392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54.75" customHeight="1">
      <c r="A6" s="59" t="s">
        <v>140</v>
      </c>
      <c r="B6" s="307" t="e">
        <f>279.9/(Fфакт*6)*(35/'Табл.7'!G7+180/'Табл.7'!G8+450/'Табл.7'!G10+700/'Табл.7'!G11+1867/'Табл.7'!G16+166.368/'Табл.7'!G17)</f>
        <v>#NAME?</v>
      </c>
      <c r="C6" s="307"/>
      <c r="D6" s="307"/>
      <c r="E6" s="307"/>
      <c r="F6" s="307"/>
      <c r="G6" s="307"/>
      <c r="H6" s="307"/>
      <c r="I6" s="307"/>
      <c r="J6" s="307"/>
      <c r="K6" s="307"/>
      <c r="L6" s="156"/>
    </row>
    <row r="7" spans="1:12" ht="73.5" customHeight="1">
      <c r="A7" s="308" t="s">
        <v>138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 ht="87" customHeight="1">
      <c r="A8" s="308" t="s">
        <v>139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ht="15.75"/>
    <row r="10" spans="1:12" ht="51" customHeight="1">
      <c r="A10" s="309" t="s">
        <v>388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47.25" customHeight="1">
      <c r="A11" s="264" t="s">
        <v>364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ht="43.5" customHeight="1">
      <c r="A12" s="264" t="s">
        <v>387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 ht="66.75" customHeight="1">
      <c r="A13" s="264" t="s">
        <v>389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ht="57.75" customHeight="1">
      <c r="A14" s="264" t="s">
        <v>390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</row>
    <row r="15" spans="2:9" ht="15.75">
      <c r="B15" s="258" t="s">
        <v>96</v>
      </c>
      <c r="C15" s="258"/>
      <c r="D15" s="258"/>
      <c r="E15" s="258" t="s">
        <v>377</v>
      </c>
      <c r="F15" s="258"/>
      <c r="G15" s="258"/>
      <c r="H15" s="258"/>
      <c r="I15" s="258"/>
    </row>
    <row r="16" spans="2:9" ht="15.75">
      <c r="B16" s="258" t="s">
        <v>92</v>
      </c>
      <c r="C16" s="258"/>
      <c r="D16" s="258"/>
      <c r="E16" s="258" t="s">
        <v>378</v>
      </c>
      <c r="F16" s="258"/>
      <c r="G16" s="258"/>
      <c r="H16" s="258"/>
      <c r="I16" s="258"/>
    </row>
    <row r="17" spans="2:9" ht="15.75">
      <c r="B17" s="258" t="s">
        <v>316</v>
      </c>
      <c r="C17" s="258"/>
      <c r="D17" s="258"/>
      <c r="E17" s="258" t="s">
        <v>379</v>
      </c>
      <c r="F17" s="258"/>
      <c r="G17" s="258"/>
      <c r="H17" s="258"/>
      <c r="I17" s="258"/>
    </row>
    <row r="18" spans="2:9" ht="15.75">
      <c r="B18" s="258" t="s">
        <v>317</v>
      </c>
      <c r="C18" s="258"/>
      <c r="D18" s="258"/>
      <c r="E18" s="258" t="s">
        <v>380</v>
      </c>
      <c r="F18" s="258"/>
      <c r="G18" s="258"/>
      <c r="H18" s="258"/>
      <c r="I18" s="258"/>
    </row>
    <row r="19" spans="2:9" ht="15.75">
      <c r="B19" s="258" t="s">
        <v>122</v>
      </c>
      <c r="C19" s="258"/>
      <c r="D19" s="258"/>
      <c r="E19" s="258" t="s">
        <v>381</v>
      </c>
      <c r="F19" s="258"/>
      <c r="G19" s="258"/>
      <c r="H19" s="258"/>
      <c r="I19" s="258"/>
    </row>
    <row r="20" spans="2:9" ht="15.75">
      <c r="B20" s="258" t="s">
        <v>208</v>
      </c>
      <c r="C20" s="258"/>
      <c r="D20" s="258"/>
      <c r="E20" s="258" t="s">
        <v>382</v>
      </c>
      <c r="F20" s="258"/>
      <c r="G20" s="258"/>
      <c r="H20" s="258"/>
      <c r="I20" s="258"/>
    </row>
    <row r="21" spans="2:11" ht="15.75">
      <c r="B21" s="258" t="s">
        <v>115</v>
      </c>
      <c r="C21" s="258"/>
      <c r="D21" s="258"/>
      <c r="E21" s="258" t="s">
        <v>383</v>
      </c>
      <c r="F21" s="258"/>
      <c r="G21" s="258"/>
      <c r="H21" s="258"/>
      <c r="I21" s="258"/>
      <c r="K21" s="1" t="s">
        <v>368</v>
      </c>
    </row>
    <row r="23" spans="5:8" ht="15.75">
      <c r="E23" s="258" t="s">
        <v>369</v>
      </c>
      <c r="F23" s="258"/>
      <c r="G23" s="258"/>
      <c r="H23" s="258"/>
    </row>
    <row r="24" spans="5:8" ht="15.75">
      <c r="E24" s="258" t="s">
        <v>370</v>
      </c>
      <c r="F24" s="258"/>
      <c r="G24" s="258"/>
      <c r="H24" s="258"/>
    </row>
    <row r="25" spans="5:8" ht="15.75">
      <c r="E25" s="139"/>
      <c r="F25" s="139"/>
      <c r="G25" s="139"/>
      <c r="H25" s="139"/>
    </row>
    <row r="26" spans="1:9" ht="15.75">
      <c r="A26" s="258" t="s">
        <v>371</v>
      </c>
      <c r="B26" s="258"/>
      <c r="C26" s="258"/>
      <c r="D26" s="258"/>
      <c r="E26" s="258"/>
      <c r="F26" s="258"/>
      <c r="G26" s="258"/>
      <c r="H26" s="258"/>
      <c r="I26" s="258"/>
    </row>
    <row r="27" spans="1:12" ht="42" customHeight="1">
      <c r="A27" s="264" t="s">
        <v>391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</row>
    <row r="29" spans="1:12" ht="50.25" customHeight="1">
      <c r="A29" s="264" t="s">
        <v>384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</row>
    <row r="30" spans="1:9" ht="15.75" customHeight="1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12" ht="48" customHeight="1">
      <c r="A31" s="264" t="s">
        <v>385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</row>
    <row r="32" spans="1:9" ht="16.5" customHeight="1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16.5" customHeight="1">
      <c r="A33" s="258" t="s">
        <v>386</v>
      </c>
      <c r="B33" s="258"/>
      <c r="C33" s="258"/>
      <c r="D33" s="258"/>
      <c r="E33" s="258"/>
      <c r="F33" s="258"/>
      <c r="G33" s="258"/>
      <c r="H33" s="258"/>
      <c r="I33" s="258"/>
    </row>
  </sheetData>
  <sheetProtection/>
  <mergeCells count="34">
    <mergeCell ref="E18:I18"/>
    <mergeCell ref="E16:I16"/>
    <mergeCell ref="E20:I20"/>
    <mergeCell ref="A26:I26"/>
    <mergeCell ref="A10:L10"/>
    <mergeCell ref="A11:L11"/>
    <mergeCell ref="A12:L12"/>
    <mergeCell ref="E21:I21"/>
    <mergeCell ref="B15:D15"/>
    <mergeCell ref="A13:L13"/>
    <mergeCell ref="A14:L14"/>
    <mergeCell ref="B17:D17"/>
    <mergeCell ref="B18:D18"/>
    <mergeCell ref="E17:I17"/>
    <mergeCell ref="A1:L1"/>
    <mergeCell ref="A2:L2"/>
    <mergeCell ref="A3:L3"/>
    <mergeCell ref="B6:K6"/>
    <mergeCell ref="E15:I15"/>
    <mergeCell ref="B16:D16"/>
    <mergeCell ref="A8:L8"/>
    <mergeCell ref="A4:L4"/>
    <mergeCell ref="A5:L5"/>
    <mergeCell ref="A7:L7"/>
    <mergeCell ref="A33:I33"/>
    <mergeCell ref="B19:D19"/>
    <mergeCell ref="B20:D20"/>
    <mergeCell ref="B21:D21"/>
    <mergeCell ref="E23:H23"/>
    <mergeCell ref="E24:H24"/>
    <mergeCell ref="A27:L27"/>
    <mergeCell ref="A29:L29"/>
    <mergeCell ref="A31:L31"/>
    <mergeCell ref="E19:I19"/>
  </mergeCells>
  <printOptions/>
  <pageMargins left="1.1811023622047245" right="0.7086614173228347" top="0.5511811023622047" bottom="0.5511811023622047" header="0.31496062992125984" footer="0.31496062992125984"/>
  <pageSetup horizontalDpi="600" verticalDpi="600" orientation="portrait" paperSize="9" scale="65" r:id="rId4"/>
  <ignoredErrors>
    <ignoredError sqref="B6" evalError="1"/>
  </ignoredError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80" zoomScaleSheetLayoutView="80" zoomScalePageLayoutView="0" workbookViewId="0" topLeftCell="A4">
      <selection activeCell="A14" sqref="A14:I14"/>
    </sheetView>
  </sheetViews>
  <sheetFormatPr defaultColWidth="9.140625" defaultRowHeight="15"/>
  <cols>
    <col min="1" max="8" width="9.140625" style="2" customWidth="1"/>
    <col min="9" max="9" width="17.28125" style="2" customWidth="1"/>
    <col min="10" max="16384" width="9.140625" style="2" customWidth="1"/>
  </cols>
  <sheetData>
    <row r="1" spans="1:9" ht="43.5" customHeight="1">
      <c r="A1" s="311" t="s">
        <v>142</v>
      </c>
      <c r="B1" s="311"/>
      <c r="C1" s="311"/>
      <c r="D1" s="311"/>
      <c r="E1" s="311"/>
      <c r="F1" s="311"/>
      <c r="G1" s="311"/>
      <c r="H1" s="311"/>
      <c r="I1" s="311"/>
    </row>
    <row r="2" spans="1:9" ht="35.25" customHeight="1">
      <c r="A2" s="170" t="s">
        <v>143</v>
      </c>
      <c r="B2" s="170"/>
      <c r="C2" s="170"/>
      <c r="D2" s="170"/>
      <c r="E2" s="170"/>
      <c r="F2" s="170"/>
      <c r="G2" s="170"/>
      <c r="H2" s="170"/>
      <c r="I2" s="170"/>
    </row>
    <row r="3" spans="1:9" ht="69" customHeight="1">
      <c r="A3" s="170" t="s">
        <v>144</v>
      </c>
      <c r="B3" s="170"/>
      <c r="C3" s="170"/>
      <c r="D3" s="170"/>
      <c r="E3" s="170"/>
      <c r="F3" s="170"/>
      <c r="G3" s="170"/>
      <c r="H3" s="170"/>
      <c r="I3" s="170"/>
    </row>
    <row r="4" spans="1:9" ht="51.75" customHeight="1">
      <c r="A4" s="170" t="s">
        <v>145</v>
      </c>
      <c r="B4" s="170"/>
      <c r="C4" s="170"/>
      <c r="D4" s="170"/>
      <c r="E4" s="170"/>
      <c r="F4" s="170"/>
      <c r="G4" s="170"/>
      <c r="H4" s="170"/>
      <c r="I4" s="170"/>
    </row>
    <row r="5" spans="1:9" ht="17.25">
      <c r="A5" s="310" t="s">
        <v>146</v>
      </c>
      <c r="B5" s="310"/>
      <c r="C5" s="310"/>
      <c r="D5" s="310"/>
      <c r="E5" s="310"/>
      <c r="F5" s="310"/>
      <c r="G5" s="310"/>
      <c r="H5" s="310"/>
      <c r="I5" s="310"/>
    </row>
    <row r="6" spans="1:9" ht="71.25" customHeight="1">
      <c r="A6" s="170" t="s">
        <v>147</v>
      </c>
      <c r="B6" s="170"/>
      <c r="C6" s="170"/>
      <c r="D6" s="170"/>
      <c r="E6" s="170"/>
      <c r="F6" s="170"/>
      <c r="G6" s="170"/>
      <c r="H6" s="170"/>
      <c r="I6" s="170"/>
    </row>
    <row r="7" spans="1:9" ht="49.5" customHeight="1">
      <c r="A7" s="170" t="s">
        <v>148</v>
      </c>
      <c r="B7" s="170"/>
      <c r="C7" s="170"/>
      <c r="D7" s="170"/>
      <c r="E7" s="170"/>
      <c r="F7" s="170"/>
      <c r="G7" s="170"/>
      <c r="H7" s="170"/>
      <c r="I7" s="170"/>
    </row>
    <row r="8" spans="1:9" ht="34.5" customHeight="1">
      <c r="A8" s="170" t="s">
        <v>149</v>
      </c>
      <c r="B8" s="170"/>
      <c r="C8" s="170"/>
      <c r="D8" s="170"/>
      <c r="E8" s="170"/>
      <c r="F8" s="170"/>
      <c r="G8" s="170"/>
      <c r="H8" s="170"/>
      <c r="I8" s="170"/>
    </row>
    <row r="9" spans="1:9" ht="36" customHeight="1">
      <c r="A9" s="170" t="s">
        <v>150</v>
      </c>
      <c r="B9" s="170"/>
      <c r="C9" s="170"/>
      <c r="D9" s="170"/>
      <c r="E9" s="170"/>
      <c r="F9" s="170"/>
      <c r="G9" s="170"/>
      <c r="H9" s="170"/>
      <c r="I9" s="170"/>
    </row>
    <row r="10" spans="1:9" ht="17.25">
      <c r="A10" s="310" t="s">
        <v>151</v>
      </c>
      <c r="B10" s="310"/>
      <c r="C10" s="310"/>
      <c r="D10" s="310"/>
      <c r="E10" s="310"/>
      <c r="F10" s="310"/>
      <c r="G10" s="310"/>
      <c r="H10" s="310"/>
      <c r="I10" s="310"/>
    </row>
    <row r="11" spans="1:9" ht="18" customHeight="1">
      <c r="A11" s="170" t="s">
        <v>152</v>
      </c>
      <c r="B11" s="170"/>
      <c r="C11" s="170"/>
      <c r="D11" s="170"/>
      <c r="E11" s="170"/>
      <c r="F11" s="170"/>
      <c r="G11" s="170"/>
      <c r="H11" s="170"/>
      <c r="I11" s="170"/>
    </row>
    <row r="12" spans="1:9" ht="51" customHeight="1">
      <c r="A12" s="170" t="s">
        <v>153</v>
      </c>
      <c r="B12" s="170"/>
      <c r="C12" s="170"/>
      <c r="D12" s="170"/>
      <c r="E12" s="170"/>
      <c r="F12" s="170"/>
      <c r="G12" s="170"/>
      <c r="H12" s="170"/>
      <c r="I12" s="170"/>
    </row>
    <row r="13" spans="1:9" ht="35.25" customHeight="1">
      <c r="A13" s="170" t="s">
        <v>154</v>
      </c>
      <c r="B13" s="170"/>
      <c r="C13" s="170"/>
      <c r="D13" s="170"/>
      <c r="E13" s="170"/>
      <c r="F13" s="170"/>
      <c r="G13" s="170"/>
      <c r="H13" s="170"/>
      <c r="I13" s="170"/>
    </row>
    <row r="14" spans="1:9" ht="33" customHeight="1">
      <c r="A14" s="170" t="s">
        <v>155</v>
      </c>
      <c r="B14" s="170"/>
      <c r="C14" s="170"/>
      <c r="D14" s="170"/>
      <c r="E14" s="170"/>
      <c r="F14" s="170"/>
      <c r="G14" s="170"/>
      <c r="H14" s="170"/>
      <c r="I14" s="170"/>
    </row>
    <row r="15" spans="1:9" ht="17.25">
      <c r="A15" s="170" t="s">
        <v>156</v>
      </c>
      <c r="B15" s="170"/>
      <c r="C15" s="170"/>
      <c r="D15" s="170"/>
      <c r="E15" s="170"/>
      <c r="F15" s="170"/>
      <c r="G15" s="170"/>
      <c r="H15" s="170"/>
      <c r="I15" s="170"/>
    </row>
    <row r="16" spans="1:9" ht="35.25" customHeight="1">
      <c r="A16" s="170" t="s">
        <v>157</v>
      </c>
      <c r="B16" s="170"/>
      <c r="C16" s="170"/>
      <c r="D16" s="170"/>
      <c r="E16" s="170"/>
      <c r="F16" s="170"/>
      <c r="G16" s="170"/>
      <c r="H16" s="170"/>
      <c r="I16" s="170"/>
    </row>
    <row r="17" spans="1:9" ht="35.25" customHeight="1">
      <c r="A17" s="170" t="s">
        <v>158</v>
      </c>
      <c r="B17" s="170"/>
      <c r="C17" s="170"/>
      <c r="D17" s="170"/>
      <c r="E17" s="170"/>
      <c r="F17" s="170"/>
      <c r="G17" s="170"/>
      <c r="H17" s="170"/>
      <c r="I17" s="170"/>
    </row>
    <row r="18" spans="1:9" ht="34.5" customHeight="1">
      <c r="A18" s="170" t="s">
        <v>159</v>
      </c>
      <c r="B18" s="170"/>
      <c r="C18" s="170"/>
      <c r="D18" s="170"/>
      <c r="E18" s="170"/>
      <c r="F18" s="170"/>
      <c r="G18" s="170"/>
      <c r="H18" s="170"/>
      <c r="I18" s="170"/>
    </row>
    <row r="19" spans="1:9" ht="36.75" customHeight="1">
      <c r="A19" s="170" t="s">
        <v>160</v>
      </c>
      <c r="B19" s="170"/>
      <c r="C19" s="170"/>
      <c r="D19" s="170"/>
      <c r="E19" s="170"/>
      <c r="F19" s="170"/>
      <c r="G19" s="170"/>
      <c r="H19" s="170"/>
      <c r="I19" s="170"/>
    </row>
    <row r="20" spans="1:9" ht="30.75" customHeight="1">
      <c r="A20" s="170" t="s">
        <v>161</v>
      </c>
      <c r="B20" s="170"/>
      <c r="C20" s="170"/>
      <c r="D20" s="170"/>
      <c r="E20" s="170"/>
      <c r="F20" s="170"/>
      <c r="G20" s="170"/>
      <c r="H20" s="170"/>
      <c r="I20" s="170"/>
    </row>
    <row r="21" spans="1:9" ht="17.25">
      <c r="A21" s="170" t="s">
        <v>162</v>
      </c>
      <c r="B21" s="170"/>
      <c r="C21" s="170"/>
      <c r="D21" s="170"/>
      <c r="E21" s="170"/>
      <c r="F21" s="170"/>
      <c r="G21" s="170"/>
      <c r="H21" s="170"/>
      <c r="I21" s="170"/>
    </row>
    <row r="22" spans="1:9" ht="30.75" customHeight="1">
      <c r="A22" s="170" t="s">
        <v>163</v>
      </c>
      <c r="B22" s="170"/>
      <c r="C22" s="170"/>
      <c r="D22" s="170"/>
      <c r="E22" s="170"/>
      <c r="F22" s="170"/>
      <c r="G22" s="170"/>
      <c r="H22" s="170"/>
      <c r="I22" s="170"/>
    </row>
    <row r="23" spans="1:9" ht="35.25" customHeight="1">
      <c r="A23" s="170" t="s">
        <v>164</v>
      </c>
      <c r="B23" s="170"/>
      <c r="C23" s="170"/>
      <c r="D23" s="170"/>
      <c r="E23" s="170"/>
      <c r="F23" s="170"/>
      <c r="G23" s="170"/>
      <c r="H23" s="170"/>
      <c r="I23" s="170"/>
    </row>
    <row r="24" spans="1:9" ht="18.75" customHeight="1">
      <c r="A24" s="170" t="s">
        <v>165</v>
      </c>
      <c r="B24" s="170"/>
      <c r="C24" s="170"/>
      <c r="D24" s="170"/>
      <c r="E24" s="170"/>
      <c r="F24" s="170"/>
      <c r="G24" s="170"/>
      <c r="H24" s="170"/>
      <c r="I24" s="170"/>
    </row>
    <row r="25" spans="1:9" ht="18.75" customHeight="1">
      <c r="A25" s="170" t="s">
        <v>166</v>
      </c>
      <c r="B25" s="170"/>
      <c r="C25" s="170"/>
      <c r="D25" s="170"/>
      <c r="E25" s="170"/>
      <c r="F25" s="170"/>
      <c r="G25" s="170"/>
      <c r="H25" s="170"/>
      <c r="I25" s="170"/>
    </row>
  </sheetData>
  <sheetProtection/>
  <mergeCells count="25">
    <mergeCell ref="A6:I6"/>
    <mergeCell ref="A7:I7"/>
    <mergeCell ref="A8:I8"/>
    <mergeCell ref="A2:I2"/>
    <mergeCell ref="A3:I3"/>
    <mergeCell ref="A4:I4"/>
    <mergeCell ref="A5:I5"/>
    <mergeCell ref="A18:I18"/>
    <mergeCell ref="A25:I25"/>
    <mergeCell ref="A1:I1"/>
    <mergeCell ref="A19:I19"/>
    <mergeCell ref="A20:I20"/>
    <mergeCell ref="A21:I21"/>
    <mergeCell ref="A22:I22"/>
    <mergeCell ref="A23:I23"/>
    <mergeCell ref="A24:I24"/>
    <mergeCell ref="A13:I13"/>
    <mergeCell ref="A9:I9"/>
    <mergeCell ref="A15:I15"/>
    <mergeCell ref="A16:I16"/>
    <mergeCell ref="A17:I17"/>
    <mergeCell ref="A14:I14"/>
    <mergeCell ref="A10:I10"/>
    <mergeCell ref="A11:I11"/>
    <mergeCell ref="A12:I12"/>
  </mergeCells>
  <printOptions/>
  <pageMargins left="0.47244094488188976" right="0.3937007874015748" top="0.5511811023622047" bottom="0.5511811023622047" header="0.31496062992125984" footer="0.31496062992125984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90" zoomScaleSheetLayoutView="90" zoomScalePageLayoutView="0" workbookViewId="0" topLeftCell="A1">
      <selection activeCell="J4" sqref="J4"/>
    </sheetView>
  </sheetViews>
  <sheetFormatPr defaultColWidth="9.140625" defaultRowHeight="15"/>
  <cols>
    <col min="1" max="8" width="9.140625" style="31" customWidth="1"/>
    <col min="9" max="9" width="20.8515625" style="31" customWidth="1"/>
    <col min="10" max="16384" width="9.140625" style="31" customWidth="1"/>
  </cols>
  <sheetData>
    <row r="1" spans="1:9" ht="41.25" customHeight="1">
      <c r="A1" s="311" t="s">
        <v>167</v>
      </c>
      <c r="B1" s="311"/>
      <c r="C1" s="311"/>
      <c r="D1" s="311"/>
      <c r="E1" s="311"/>
      <c r="F1" s="311"/>
      <c r="G1" s="311"/>
      <c r="H1" s="311"/>
      <c r="I1" s="311"/>
    </row>
    <row r="2" spans="1:9" ht="43.5" customHeight="1">
      <c r="A2" s="211" t="s">
        <v>169</v>
      </c>
      <c r="B2" s="211"/>
      <c r="C2" s="211"/>
      <c r="D2" s="211"/>
      <c r="E2" s="211"/>
      <c r="F2" s="211"/>
      <c r="G2" s="211"/>
      <c r="H2" s="211"/>
      <c r="I2" s="211"/>
    </row>
    <row r="3" spans="1:9" ht="76.5" customHeight="1">
      <c r="A3" s="211" t="s">
        <v>170</v>
      </c>
      <c r="B3" s="211"/>
      <c r="C3" s="211"/>
      <c r="D3" s="211"/>
      <c r="E3" s="211"/>
      <c r="F3" s="211"/>
      <c r="G3" s="211"/>
      <c r="H3" s="211"/>
      <c r="I3" s="211"/>
    </row>
    <row r="4" spans="1:9" ht="60.75" customHeight="1">
      <c r="A4" s="312" t="s">
        <v>168</v>
      </c>
      <c r="B4" s="312"/>
      <c r="C4" s="312"/>
      <c r="D4" s="312"/>
      <c r="E4" s="312"/>
      <c r="F4" s="312"/>
      <c r="G4" s="312"/>
      <c r="H4" s="312"/>
      <c r="I4" s="312"/>
    </row>
    <row r="5" spans="1:9" ht="18.75">
      <c r="A5" s="312" t="s">
        <v>182</v>
      </c>
      <c r="B5" s="312"/>
      <c r="C5" s="312"/>
      <c r="D5" s="312"/>
      <c r="E5" s="312"/>
      <c r="F5" s="312"/>
      <c r="G5" s="312"/>
      <c r="H5" s="312"/>
      <c r="I5" s="312"/>
    </row>
    <row r="6" spans="1:9" ht="41.25" customHeight="1">
      <c r="A6" s="312" t="s">
        <v>183</v>
      </c>
      <c r="B6" s="312"/>
      <c r="C6" s="312"/>
      <c r="D6" s="312"/>
      <c r="E6" s="312"/>
      <c r="F6" s="312"/>
      <c r="G6" s="312"/>
      <c r="H6" s="312"/>
      <c r="I6" s="312"/>
    </row>
    <row r="7" spans="1:11" ht="18.75">
      <c r="A7" s="312" t="s">
        <v>184</v>
      </c>
      <c r="B7" s="312"/>
      <c r="C7" s="312"/>
      <c r="D7" s="312"/>
      <c r="E7" s="312"/>
      <c r="F7" s="312"/>
      <c r="G7" s="312"/>
      <c r="H7" s="312"/>
      <c r="I7" s="312"/>
      <c r="K7" t="s">
        <v>234</v>
      </c>
    </row>
    <row r="8" spans="1:9" ht="18.75" customHeight="1">
      <c r="A8" s="312" t="s">
        <v>185</v>
      </c>
      <c r="B8" s="312"/>
      <c r="C8" s="312"/>
      <c r="D8" s="312"/>
      <c r="E8" s="312"/>
      <c r="F8" s="312"/>
      <c r="G8" s="312"/>
      <c r="H8" s="312"/>
      <c r="I8" s="312"/>
    </row>
    <row r="9" spans="1:9" ht="18.75">
      <c r="A9" s="312" t="s">
        <v>186</v>
      </c>
      <c r="B9" s="312"/>
      <c r="C9" s="312"/>
      <c r="D9" s="312"/>
      <c r="E9" s="312"/>
      <c r="F9" s="312"/>
      <c r="G9" s="312"/>
      <c r="H9" s="312"/>
      <c r="I9" s="312"/>
    </row>
    <row r="10" spans="1:9" ht="37.5" customHeight="1">
      <c r="A10" s="211" t="s">
        <v>171</v>
      </c>
      <c r="B10" s="211"/>
      <c r="C10" s="211"/>
      <c r="D10" s="211"/>
      <c r="E10" s="211"/>
      <c r="F10" s="211"/>
      <c r="G10" s="211"/>
      <c r="H10" s="211"/>
      <c r="I10" s="211"/>
    </row>
    <row r="11" spans="1:9" ht="18.75">
      <c r="A11" s="211" t="s">
        <v>172</v>
      </c>
      <c r="B11" s="211"/>
      <c r="C11" s="211"/>
      <c r="D11" s="211"/>
      <c r="E11" s="211"/>
      <c r="F11" s="211"/>
      <c r="G11" s="211"/>
      <c r="H11" s="211"/>
      <c r="I11" s="211"/>
    </row>
    <row r="12" spans="1:9" ht="42.75" customHeight="1">
      <c r="A12" s="211" t="s">
        <v>173</v>
      </c>
      <c r="B12" s="211"/>
      <c r="C12" s="211"/>
      <c r="D12" s="211"/>
      <c r="E12" s="211"/>
      <c r="F12" s="211"/>
      <c r="G12" s="211"/>
      <c r="H12" s="211"/>
      <c r="I12" s="211"/>
    </row>
    <row r="13" spans="1:9" ht="18.75">
      <c r="A13" s="211" t="s">
        <v>174</v>
      </c>
      <c r="B13" s="211"/>
      <c r="C13" s="211"/>
      <c r="D13" s="211"/>
      <c r="E13" s="211"/>
      <c r="F13" s="211"/>
      <c r="G13" s="211"/>
      <c r="H13" s="211"/>
      <c r="I13" s="211"/>
    </row>
    <row r="14" spans="1:9" ht="36" customHeight="1">
      <c r="A14" s="211" t="s">
        <v>175</v>
      </c>
      <c r="B14" s="211"/>
      <c r="C14" s="211"/>
      <c r="D14" s="211"/>
      <c r="E14" s="211"/>
      <c r="F14" s="211"/>
      <c r="G14" s="211"/>
      <c r="H14" s="211"/>
      <c r="I14" s="211"/>
    </row>
    <row r="15" spans="1:9" ht="21" customHeight="1">
      <c r="A15" s="211" t="s">
        <v>176</v>
      </c>
      <c r="B15" s="211"/>
      <c r="C15" s="211"/>
      <c r="D15" s="211"/>
      <c r="E15" s="211"/>
      <c r="F15" s="211"/>
      <c r="G15" s="211"/>
      <c r="H15" s="211"/>
      <c r="I15" s="211"/>
    </row>
    <row r="16" spans="1:9" ht="18.75">
      <c r="A16" s="211" t="s">
        <v>177</v>
      </c>
      <c r="B16" s="211"/>
      <c r="C16" s="211"/>
      <c r="D16" s="211"/>
      <c r="E16" s="211"/>
      <c r="F16" s="211"/>
      <c r="G16" s="211"/>
      <c r="H16" s="211"/>
      <c r="I16" s="211"/>
    </row>
    <row r="17" spans="1:9" ht="37.5" customHeight="1">
      <c r="A17" s="211" t="s">
        <v>178</v>
      </c>
      <c r="B17" s="211"/>
      <c r="C17" s="211"/>
      <c r="D17" s="211"/>
      <c r="E17" s="211"/>
      <c r="F17" s="211"/>
      <c r="G17" s="211"/>
      <c r="H17" s="211"/>
      <c r="I17" s="211"/>
    </row>
    <row r="18" spans="1:9" ht="60" customHeight="1">
      <c r="A18" s="211" t="s">
        <v>179</v>
      </c>
      <c r="B18" s="211"/>
      <c r="C18" s="211"/>
      <c r="D18" s="211"/>
      <c r="E18" s="211"/>
      <c r="F18" s="211"/>
      <c r="G18" s="211"/>
      <c r="H18" s="211"/>
      <c r="I18" s="211"/>
    </row>
    <row r="19" spans="1:9" ht="19.5" customHeight="1">
      <c r="A19" s="211" t="s">
        <v>180</v>
      </c>
      <c r="B19" s="211"/>
      <c r="C19" s="211"/>
      <c r="D19" s="211"/>
      <c r="E19" s="211"/>
      <c r="F19" s="211"/>
      <c r="G19" s="211"/>
      <c r="H19" s="211"/>
      <c r="I19" s="211"/>
    </row>
    <row r="20" spans="1:9" ht="21" customHeight="1">
      <c r="A20" s="211" t="s">
        <v>181</v>
      </c>
      <c r="B20" s="211"/>
      <c r="C20" s="211"/>
      <c r="D20" s="211"/>
      <c r="E20" s="211"/>
      <c r="F20" s="211"/>
      <c r="G20" s="211"/>
      <c r="H20" s="211"/>
      <c r="I20" s="211"/>
    </row>
  </sheetData>
  <sheetProtection/>
  <mergeCells count="20">
    <mergeCell ref="A1:I1"/>
    <mergeCell ref="A2:I2"/>
    <mergeCell ref="A3:I3"/>
    <mergeCell ref="A10:I10"/>
    <mergeCell ref="A4:I4"/>
    <mergeCell ref="A5:I5"/>
    <mergeCell ref="A6:I6"/>
    <mergeCell ref="A7:I7"/>
    <mergeCell ref="A8:I8"/>
    <mergeCell ref="A9:I9"/>
    <mergeCell ref="A11:I11"/>
    <mergeCell ref="A18:I18"/>
    <mergeCell ref="A19:I19"/>
    <mergeCell ref="A20:I20"/>
    <mergeCell ref="A12:I12"/>
    <mergeCell ref="A13:I13"/>
    <mergeCell ref="A14:I14"/>
    <mergeCell ref="A15:I15"/>
    <mergeCell ref="A16:I16"/>
    <mergeCell ref="A17:I17"/>
  </mergeCells>
  <printOptions/>
  <pageMargins left="0.47244094488188976" right="0.3937007874015748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7">
      <selection activeCell="A6" sqref="A6:I6"/>
    </sheetView>
  </sheetViews>
  <sheetFormatPr defaultColWidth="9.140625" defaultRowHeight="15"/>
  <cols>
    <col min="1" max="8" width="9.140625" style="1" customWidth="1"/>
    <col min="9" max="9" width="21.57421875" style="1" customWidth="1"/>
    <col min="10" max="16384" width="9.140625" style="1" customWidth="1"/>
  </cols>
  <sheetData>
    <row r="1" spans="1:9" ht="17.25">
      <c r="A1" s="160" t="s">
        <v>6</v>
      </c>
      <c r="B1" s="160"/>
      <c r="C1" s="160"/>
      <c r="D1" s="160"/>
      <c r="E1" s="160"/>
      <c r="F1" s="160"/>
      <c r="G1" s="160"/>
      <c r="H1" s="160"/>
      <c r="I1" s="160"/>
    </row>
    <row r="2" spans="1:9" ht="17.25">
      <c r="A2" s="160" t="s">
        <v>7</v>
      </c>
      <c r="B2" s="160"/>
      <c r="C2" s="160"/>
      <c r="D2" s="160"/>
      <c r="E2" s="160"/>
      <c r="F2" s="160"/>
      <c r="G2" s="160"/>
      <c r="H2" s="160"/>
      <c r="I2" s="160"/>
    </row>
    <row r="3" spans="1:9" ht="17.2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61.5" customHeight="1">
      <c r="A4" s="163" t="s">
        <v>337</v>
      </c>
      <c r="B4" s="163"/>
      <c r="C4" s="163"/>
      <c r="D4" s="163"/>
      <c r="E4" s="163"/>
      <c r="F4" s="163"/>
      <c r="G4" s="163"/>
      <c r="H4" s="163"/>
      <c r="I4" s="163"/>
    </row>
    <row r="5" spans="1:9" ht="108.75" customHeight="1">
      <c r="A5" s="159" t="s">
        <v>338</v>
      </c>
      <c r="B5" s="159"/>
      <c r="C5" s="159"/>
      <c r="D5" s="159"/>
      <c r="E5" s="159"/>
      <c r="F5" s="159"/>
      <c r="G5" s="159"/>
      <c r="H5" s="159"/>
      <c r="I5" s="159"/>
    </row>
    <row r="6" spans="1:9" ht="195" customHeight="1">
      <c r="A6" s="159" t="s">
        <v>340</v>
      </c>
      <c r="B6" s="159"/>
      <c r="C6" s="159"/>
      <c r="D6" s="159"/>
      <c r="E6" s="159"/>
      <c r="F6" s="159"/>
      <c r="G6" s="159"/>
      <c r="H6" s="159"/>
      <c r="I6" s="159"/>
    </row>
    <row r="7" spans="1:9" ht="78" customHeight="1">
      <c r="A7" s="161" t="s">
        <v>339</v>
      </c>
      <c r="B7" s="161"/>
      <c r="C7" s="161"/>
      <c r="D7" s="161"/>
      <c r="E7" s="161"/>
      <c r="F7" s="161"/>
      <c r="G7" s="161"/>
      <c r="H7" s="161"/>
      <c r="I7" s="161"/>
    </row>
    <row r="8" spans="1:9" ht="95.25" customHeight="1">
      <c r="A8" s="159" t="s">
        <v>341</v>
      </c>
      <c r="B8" s="159"/>
      <c r="C8" s="159"/>
      <c r="D8" s="159"/>
      <c r="E8" s="159"/>
      <c r="F8" s="159"/>
      <c r="G8" s="159"/>
      <c r="H8" s="159"/>
      <c r="I8" s="159"/>
    </row>
    <row r="9" spans="1:9" ht="15.75">
      <c r="A9" s="168" t="s">
        <v>342</v>
      </c>
      <c r="B9" s="165"/>
      <c r="C9" s="165"/>
      <c r="D9" s="165"/>
      <c r="E9" s="165"/>
      <c r="F9" s="165"/>
      <c r="G9" s="165"/>
      <c r="H9" s="165"/>
      <c r="I9" s="165"/>
    </row>
    <row r="10" spans="1:9" ht="15.75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8.75">
      <c r="A11" s="164" t="s">
        <v>393</v>
      </c>
      <c r="B11" s="165"/>
      <c r="C11" s="165"/>
      <c r="D11" s="165"/>
      <c r="E11" s="165"/>
      <c r="F11" s="165"/>
      <c r="G11" s="165"/>
      <c r="H11" s="165"/>
      <c r="I11" s="165"/>
    </row>
    <row r="12" spans="1:9" ht="33" customHeight="1">
      <c r="A12" s="158"/>
      <c r="B12" s="166" t="s">
        <v>395</v>
      </c>
      <c r="C12" s="166"/>
      <c r="D12" s="166"/>
      <c r="E12" s="166"/>
      <c r="F12" s="166"/>
      <c r="G12" s="166"/>
      <c r="H12" s="166"/>
      <c r="I12" s="166"/>
    </row>
    <row r="13" spans="1:9" ht="40.5" customHeight="1">
      <c r="A13" s="158"/>
      <c r="B13" s="167" t="s">
        <v>394</v>
      </c>
      <c r="C13" s="167"/>
      <c r="D13" s="167"/>
      <c r="E13" s="167"/>
      <c r="F13" s="167"/>
      <c r="G13" s="167"/>
      <c r="H13" s="167"/>
      <c r="I13" s="167"/>
    </row>
  </sheetData>
  <sheetProtection/>
  <mergeCells count="11">
    <mergeCell ref="B12:I12"/>
    <mergeCell ref="B13:I13"/>
    <mergeCell ref="A8:I8"/>
    <mergeCell ref="A9:I9"/>
    <mergeCell ref="A7:I7"/>
    <mergeCell ref="A1:I1"/>
    <mergeCell ref="A2:I2"/>
    <mergeCell ref="A4:I4"/>
    <mergeCell ref="A5:I5"/>
    <mergeCell ref="A6:I6"/>
    <mergeCell ref="A11:I11"/>
  </mergeCells>
  <printOptions/>
  <pageMargins left="1.1811023622047245" right="0.7086614173228347" top="0.5511811023622047" bottom="0.5511811023622047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CC"/>
  </sheetPr>
  <dimension ref="A1:J16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2.7109375" style="2" customWidth="1"/>
    <col min="2" max="9" width="9.140625" style="2" customWidth="1"/>
    <col min="10" max="10" width="18.28125" style="2" customWidth="1"/>
    <col min="11" max="16384" width="9.140625" style="2" customWidth="1"/>
  </cols>
  <sheetData>
    <row r="1" spans="1:10" ht="31.5" customHeight="1">
      <c r="A1" s="169" t="s">
        <v>197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1.75" customHeight="1">
      <c r="A2" s="163" t="s">
        <v>224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35.25" customHeight="1">
      <c r="A3" s="4" t="s">
        <v>56</v>
      </c>
      <c r="B3" s="52"/>
      <c r="C3" s="163" t="s">
        <v>344</v>
      </c>
      <c r="D3" s="163"/>
      <c r="E3" s="163"/>
      <c r="F3" s="163"/>
      <c r="G3" s="163"/>
      <c r="H3" s="163"/>
      <c r="I3" s="163"/>
      <c r="J3" s="163"/>
    </row>
    <row r="4" spans="1:10" ht="55.5" customHeight="1">
      <c r="A4" s="4" t="s">
        <v>56</v>
      </c>
      <c r="B4" s="146"/>
      <c r="C4" s="163" t="s">
        <v>343</v>
      </c>
      <c r="D4" s="163"/>
      <c r="E4" s="163"/>
      <c r="F4" s="163"/>
      <c r="G4" s="163"/>
      <c r="H4" s="163"/>
      <c r="I4" s="163"/>
      <c r="J4" s="163"/>
    </row>
    <row r="5" spans="1:10" ht="39" customHeight="1">
      <c r="A5" s="4" t="s">
        <v>56</v>
      </c>
      <c r="B5" s="145"/>
      <c r="C5" s="162" t="s">
        <v>345</v>
      </c>
      <c r="D5" s="162"/>
      <c r="E5" s="162"/>
      <c r="F5" s="162"/>
      <c r="G5" s="162"/>
      <c r="H5" s="162"/>
      <c r="I5" s="162"/>
      <c r="J5" s="162"/>
    </row>
    <row r="6" spans="1:10" ht="19.5" customHeight="1">
      <c r="A6" s="163" t="s">
        <v>225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33.75" customHeight="1">
      <c r="A7" s="4" t="s">
        <v>56</v>
      </c>
      <c r="B7" s="53"/>
      <c r="C7" s="163" t="s">
        <v>204</v>
      </c>
      <c r="D7" s="163"/>
      <c r="E7" s="163"/>
      <c r="F7" s="163"/>
      <c r="G7" s="163"/>
      <c r="H7" s="163"/>
      <c r="I7" s="163"/>
      <c r="J7" s="163"/>
    </row>
    <row r="8" spans="1:10" ht="33.75" customHeight="1">
      <c r="A8" s="4" t="s">
        <v>56</v>
      </c>
      <c r="B8" s="145"/>
      <c r="C8" s="162" t="s">
        <v>199</v>
      </c>
      <c r="D8" s="162"/>
      <c r="E8" s="162"/>
      <c r="F8" s="162"/>
      <c r="G8" s="162"/>
      <c r="H8" s="162"/>
      <c r="I8" s="162"/>
      <c r="J8" s="162"/>
    </row>
    <row r="9" spans="1:10" ht="38.25" customHeight="1">
      <c r="A9" s="170" t="s">
        <v>226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53.25" customHeight="1">
      <c r="A10" s="171" t="s">
        <v>227</v>
      </c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36.75" customHeight="1">
      <c r="A11" s="171" t="s">
        <v>228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55.5" customHeight="1">
      <c r="A12" s="170" t="s">
        <v>229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ht="37.5" customHeight="1">
      <c r="A13" s="170" t="s">
        <v>230</v>
      </c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ht="36.75" customHeight="1">
      <c r="A14" s="170" t="s">
        <v>287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38.25" customHeight="1">
      <c r="A15" s="170" t="s">
        <v>288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3.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</sheetData>
  <sheetProtection/>
  <mergeCells count="15">
    <mergeCell ref="A13:J13"/>
    <mergeCell ref="A14:J14"/>
    <mergeCell ref="A15:J15"/>
    <mergeCell ref="A2:J2"/>
    <mergeCell ref="A6:J6"/>
    <mergeCell ref="A12:J12"/>
    <mergeCell ref="A1:J1"/>
    <mergeCell ref="A9:J9"/>
    <mergeCell ref="A10:J10"/>
    <mergeCell ref="A11:J11"/>
    <mergeCell ref="C4:J4"/>
    <mergeCell ref="C3:J3"/>
    <mergeCell ref="C5:J5"/>
    <mergeCell ref="C7:J7"/>
    <mergeCell ref="C8:J8"/>
  </mergeCells>
  <printOptions/>
  <pageMargins left="0.47244094488188976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Normal="50" zoomScaleSheetLayoutView="100" zoomScalePageLayoutView="0" workbookViewId="0" topLeftCell="A37">
      <selection activeCell="B17" sqref="B17:I17"/>
    </sheetView>
  </sheetViews>
  <sheetFormatPr defaultColWidth="9.140625" defaultRowHeight="15"/>
  <cols>
    <col min="1" max="1" width="38.421875" style="2" customWidth="1"/>
    <col min="2" max="2" width="13.140625" style="2" customWidth="1"/>
    <col min="3" max="5" width="9.140625" style="2" customWidth="1"/>
    <col min="6" max="6" width="9.7109375" style="2" customWidth="1"/>
    <col min="7" max="7" width="10.00390625" style="2" customWidth="1"/>
    <col min="8" max="8" width="9.7109375" style="2" customWidth="1"/>
    <col min="9" max="9" width="36.140625" style="2" customWidth="1"/>
    <col min="10" max="10" width="3.421875" style="2" hidden="1" customWidth="1"/>
    <col min="11" max="12" width="9.140625" style="2" hidden="1" customWidth="1"/>
    <col min="13" max="16384" width="9.140625" style="2" customWidth="1"/>
  </cols>
  <sheetData>
    <row r="1" ht="17.25">
      <c r="I1" s="6" t="s">
        <v>8</v>
      </c>
    </row>
    <row r="2" ht="17.25">
      <c r="I2" s="3" t="s">
        <v>296</v>
      </c>
    </row>
    <row r="3" ht="17.25">
      <c r="I3" s="3" t="s">
        <v>297</v>
      </c>
    </row>
    <row r="4" ht="17.25">
      <c r="I4" s="3"/>
    </row>
    <row r="5" ht="17.25">
      <c r="I5" s="3" t="s">
        <v>298</v>
      </c>
    </row>
    <row r="6" ht="12" customHeight="1"/>
    <row r="7" spans="1:9" ht="17.25">
      <c r="A7" s="4"/>
      <c r="I7" s="3" t="s">
        <v>299</v>
      </c>
    </row>
    <row r="8" ht="17.25">
      <c r="A8" s="4"/>
    </row>
    <row r="9" spans="1:9" ht="17.25">
      <c r="A9" s="181" t="s">
        <v>300</v>
      </c>
      <c r="B9" s="181"/>
      <c r="C9" s="181"/>
      <c r="D9" s="181"/>
      <c r="E9" s="181"/>
      <c r="F9" s="181"/>
      <c r="G9" s="181"/>
      <c r="H9" s="181"/>
      <c r="I9" s="181"/>
    </row>
    <row r="10" spans="1:9" ht="17.25">
      <c r="A10" s="181" t="s">
        <v>10</v>
      </c>
      <c r="B10" s="181"/>
      <c r="C10" s="181"/>
      <c r="D10" s="181"/>
      <c r="E10" s="181"/>
      <c r="F10" s="181"/>
      <c r="G10" s="181"/>
      <c r="H10" s="181"/>
      <c r="I10" s="181"/>
    </row>
    <row r="11" spans="1:9" ht="17.25">
      <c r="A11" s="181" t="s">
        <v>301</v>
      </c>
      <c r="B11" s="181"/>
      <c r="C11" s="181"/>
      <c r="D11" s="181"/>
      <c r="E11" s="181"/>
      <c r="F11" s="181"/>
      <c r="G11" s="181"/>
      <c r="H11" s="181"/>
      <c r="I11" s="181"/>
    </row>
    <row r="12" spans="1:9" ht="17.25">
      <c r="A12" s="5"/>
      <c r="B12" s="5"/>
      <c r="C12" s="5"/>
      <c r="D12" s="5"/>
      <c r="E12" s="5"/>
      <c r="F12" s="5"/>
      <c r="G12" s="5"/>
      <c r="H12" s="5"/>
      <c r="I12" s="5"/>
    </row>
    <row r="13" spans="1:9" ht="17.25">
      <c r="A13" s="181" t="s">
        <v>11</v>
      </c>
      <c r="B13" s="181"/>
      <c r="C13" s="181"/>
      <c r="D13" s="181"/>
      <c r="E13" s="181"/>
      <c r="F13" s="181"/>
      <c r="G13" s="181"/>
      <c r="H13" s="181"/>
      <c r="I13" s="181"/>
    </row>
    <row r="14" spans="1:9" ht="17.25">
      <c r="A14" s="182" t="s">
        <v>12</v>
      </c>
      <c r="B14" s="182"/>
      <c r="C14" s="182"/>
      <c r="D14" s="182"/>
      <c r="E14" s="182"/>
      <c r="F14" s="182"/>
      <c r="G14" s="182"/>
      <c r="H14" s="182"/>
      <c r="I14" s="182"/>
    </row>
    <row r="15" spans="1:9" ht="4.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53.25" customHeight="1">
      <c r="A16" s="48" t="s">
        <v>9</v>
      </c>
      <c r="B16" s="175" t="s">
        <v>232</v>
      </c>
      <c r="C16" s="176"/>
      <c r="D16" s="176"/>
      <c r="E16" s="176"/>
      <c r="F16" s="176"/>
      <c r="G16" s="176"/>
      <c r="H16" s="176"/>
      <c r="I16" s="177"/>
    </row>
    <row r="17" spans="1:9" ht="45.75" customHeight="1">
      <c r="A17" s="187" t="s">
        <v>13</v>
      </c>
      <c r="B17" s="189" t="s">
        <v>14</v>
      </c>
      <c r="C17" s="190"/>
      <c r="D17" s="190"/>
      <c r="E17" s="190"/>
      <c r="F17" s="190"/>
      <c r="G17" s="190"/>
      <c r="H17" s="190"/>
      <c r="I17" s="191"/>
    </row>
    <row r="18" spans="1:9" ht="56.25" customHeight="1">
      <c r="A18" s="188"/>
      <c r="B18" s="183" t="s">
        <v>15</v>
      </c>
      <c r="C18" s="184"/>
      <c r="D18" s="184"/>
      <c r="E18" s="184"/>
      <c r="F18" s="184"/>
      <c r="G18" s="184"/>
      <c r="H18" s="184"/>
      <c r="I18" s="185"/>
    </row>
    <row r="19" spans="1:9" ht="56.25" customHeight="1">
      <c r="A19" s="45" t="s">
        <v>302</v>
      </c>
      <c r="B19" s="175" t="s">
        <v>232</v>
      </c>
      <c r="C19" s="176"/>
      <c r="D19" s="176"/>
      <c r="E19" s="176"/>
      <c r="F19" s="176"/>
      <c r="G19" s="176"/>
      <c r="H19" s="176"/>
      <c r="I19" s="177"/>
    </row>
    <row r="20" spans="1:9" ht="36" customHeight="1">
      <c r="A20" s="48" t="s">
        <v>16</v>
      </c>
      <c r="B20" s="175" t="s">
        <v>396</v>
      </c>
      <c r="C20" s="176"/>
      <c r="D20" s="176"/>
      <c r="E20" s="176"/>
      <c r="F20" s="176"/>
      <c r="G20" s="176"/>
      <c r="H20" s="176"/>
      <c r="I20" s="177"/>
    </row>
    <row r="21" spans="1:9" ht="34.5" customHeight="1">
      <c r="A21" s="186" t="s">
        <v>17</v>
      </c>
      <c r="B21" s="178" t="s">
        <v>40</v>
      </c>
      <c r="C21" s="179"/>
      <c r="D21" s="179"/>
      <c r="E21" s="179"/>
      <c r="F21" s="179"/>
      <c r="G21" s="179"/>
      <c r="H21" s="179"/>
      <c r="I21" s="180"/>
    </row>
    <row r="22" spans="1:9" ht="36.75" customHeight="1">
      <c r="A22" s="186"/>
      <c r="B22" s="178" t="s">
        <v>18</v>
      </c>
      <c r="C22" s="179"/>
      <c r="D22" s="179"/>
      <c r="E22" s="179"/>
      <c r="F22" s="179"/>
      <c r="G22" s="179"/>
      <c r="H22" s="179"/>
      <c r="I22" s="180"/>
    </row>
    <row r="23" spans="1:9" ht="39" customHeight="1">
      <c r="A23" s="186"/>
      <c r="B23" s="178" t="s">
        <v>19</v>
      </c>
      <c r="C23" s="179"/>
      <c r="D23" s="179"/>
      <c r="E23" s="179"/>
      <c r="F23" s="179"/>
      <c r="G23" s="179"/>
      <c r="H23" s="179"/>
      <c r="I23" s="180"/>
    </row>
    <row r="24" spans="1:9" ht="40.5" customHeight="1">
      <c r="A24" s="186"/>
      <c r="B24" s="178" t="s">
        <v>20</v>
      </c>
      <c r="C24" s="179"/>
      <c r="D24" s="179"/>
      <c r="E24" s="179"/>
      <c r="F24" s="179"/>
      <c r="G24" s="179"/>
      <c r="H24" s="179"/>
      <c r="I24" s="180"/>
    </row>
    <row r="25" spans="1:9" ht="41.25" customHeight="1">
      <c r="A25" s="186"/>
      <c r="B25" s="178" t="s">
        <v>41</v>
      </c>
      <c r="C25" s="179"/>
      <c r="D25" s="179"/>
      <c r="E25" s="179"/>
      <c r="F25" s="179"/>
      <c r="G25" s="179"/>
      <c r="H25" s="179"/>
      <c r="I25" s="180"/>
    </row>
    <row r="26" spans="1:9" ht="38.25" customHeight="1">
      <c r="A26" s="186"/>
      <c r="B26" s="178" t="s">
        <v>21</v>
      </c>
      <c r="C26" s="179"/>
      <c r="D26" s="179"/>
      <c r="E26" s="179"/>
      <c r="F26" s="179"/>
      <c r="G26" s="179"/>
      <c r="H26" s="179"/>
      <c r="I26" s="180"/>
    </row>
    <row r="27" spans="1:9" ht="44.25" customHeight="1">
      <c r="A27" s="186"/>
      <c r="B27" s="178" t="s">
        <v>22</v>
      </c>
      <c r="C27" s="179"/>
      <c r="D27" s="179"/>
      <c r="E27" s="179"/>
      <c r="F27" s="179"/>
      <c r="G27" s="179"/>
      <c r="H27" s="179"/>
      <c r="I27" s="180"/>
    </row>
    <row r="28" spans="1:9" ht="33" customHeight="1">
      <c r="A28" s="48" t="s">
        <v>23</v>
      </c>
      <c r="B28" s="175" t="s">
        <v>332</v>
      </c>
      <c r="C28" s="176"/>
      <c r="D28" s="176"/>
      <c r="E28" s="176"/>
      <c r="F28" s="176"/>
      <c r="G28" s="176"/>
      <c r="H28" s="176"/>
      <c r="I28" s="177"/>
    </row>
    <row r="29" spans="1:9" ht="40.5" customHeight="1">
      <c r="A29" s="186" t="s">
        <v>24</v>
      </c>
      <c r="B29" s="178" t="s">
        <v>42</v>
      </c>
      <c r="C29" s="179"/>
      <c r="D29" s="179"/>
      <c r="E29" s="179"/>
      <c r="F29" s="179"/>
      <c r="G29" s="179"/>
      <c r="H29" s="179"/>
      <c r="I29" s="180"/>
    </row>
    <row r="30" spans="1:9" ht="36.75" customHeight="1">
      <c r="A30" s="186"/>
      <c r="B30" s="178" t="s">
        <v>25</v>
      </c>
      <c r="C30" s="179"/>
      <c r="D30" s="179"/>
      <c r="E30" s="179"/>
      <c r="F30" s="179"/>
      <c r="G30" s="179"/>
      <c r="H30" s="179"/>
      <c r="I30" s="180"/>
    </row>
    <row r="31" spans="1:9" ht="42.75" customHeight="1">
      <c r="A31" s="186"/>
      <c r="B31" s="178" t="s">
        <v>26</v>
      </c>
      <c r="C31" s="179"/>
      <c r="D31" s="179"/>
      <c r="E31" s="179"/>
      <c r="F31" s="179"/>
      <c r="G31" s="179"/>
      <c r="H31" s="179"/>
      <c r="I31" s="180"/>
    </row>
    <row r="32" spans="1:9" ht="39.75" customHeight="1">
      <c r="A32" s="186"/>
      <c r="B32" s="178" t="s">
        <v>27</v>
      </c>
      <c r="C32" s="179"/>
      <c r="D32" s="179"/>
      <c r="E32" s="179"/>
      <c r="F32" s="179"/>
      <c r="G32" s="179"/>
      <c r="H32" s="179"/>
      <c r="I32" s="180"/>
    </row>
    <row r="33" spans="1:9" ht="48" customHeight="1">
      <c r="A33" s="186"/>
      <c r="B33" s="178" t="s">
        <v>28</v>
      </c>
      <c r="C33" s="179"/>
      <c r="D33" s="179"/>
      <c r="E33" s="179"/>
      <c r="F33" s="179"/>
      <c r="G33" s="179"/>
      <c r="H33" s="179"/>
      <c r="I33" s="180"/>
    </row>
    <row r="34" spans="1:9" ht="36" customHeight="1">
      <c r="A34" s="186"/>
      <c r="B34" s="178" t="s">
        <v>29</v>
      </c>
      <c r="C34" s="179"/>
      <c r="D34" s="179"/>
      <c r="E34" s="179"/>
      <c r="F34" s="179"/>
      <c r="G34" s="179"/>
      <c r="H34" s="179"/>
      <c r="I34" s="180"/>
    </row>
    <row r="35" spans="1:9" ht="28.5" customHeight="1">
      <c r="A35" s="186"/>
      <c r="B35" s="178" t="s">
        <v>30</v>
      </c>
      <c r="C35" s="179"/>
      <c r="D35" s="179"/>
      <c r="E35" s="179"/>
      <c r="F35" s="179"/>
      <c r="G35" s="179"/>
      <c r="H35" s="179"/>
      <c r="I35" s="180"/>
    </row>
    <row r="36" spans="1:9" ht="28.5" customHeight="1">
      <c r="A36" s="187" t="s">
        <v>31</v>
      </c>
      <c r="B36" s="175" t="s">
        <v>232</v>
      </c>
      <c r="C36" s="176"/>
      <c r="D36" s="176"/>
      <c r="E36" s="176"/>
      <c r="F36" s="176"/>
      <c r="G36" s="176"/>
      <c r="H36" s="176"/>
      <c r="I36" s="177"/>
    </row>
    <row r="37" spans="1:9" ht="24" customHeight="1">
      <c r="A37" s="188"/>
      <c r="B37" s="183" t="s">
        <v>196</v>
      </c>
      <c r="C37" s="184"/>
      <c r="D37" s="184"/>
      <c r="E37" s="184"/>
      <c r="F37" s="184"/>
      <c r="G37" s="184"/>
      <c r="H37" s="184"/>
      <c r="I37" s="185"/>
    </row>
    <row r="38" spans="1:9" ht="30" customHeight="1">
      <c r="A38" s="186" t="s">
        <v>32</v>
      </c>
      <c r="B38" s="178" t="s">
        <v>33</v>
      </c>
      <c r="C38" s="179"/>
      <c r="D38" s="179"/>
      <c r="E38" s="179"/>
      <c r="F38" s="179"/>
      <c r="G38" s="179"/>
      <c r="H38" s="179"/>
      <c r="I38" s="180"/>
    </row>
    <row r="39" spans="1:9" ht="38.25" customHeight="1">
      <c r="A39" s="186"/>
      <c r="B39" s="178" t="s">
        <v>34</v>
      </c>
      <c r="C39" s="179"/>
      <c r="D39" s="179"/>
      <c r="E39" s="179"/>
      <c r="F39" s="179"/>
      <c r="G39" s="179"/>
      <c r="H39" s="179"/>
      <c r="I39" s="180"/>
    </row>
    <row r="40" spans="1:9" ht="39" customHeight="1">
      <c r="A40" s="186"/>
      <c r="B40" s="178" t="s">
        <v>189</v>
      </c>
      <c r="C40" s="179"/>
      <c r="D40" s="179"/>
      <c r="E40" s="179"/>
      <c r="F40" s="179"/>
      <c r="G40" s="179"/>
      <c r="H40" s="179"/>
      <c r="I40" s="180"/>
    </row>
    <row r="41" spans="1:9" ht="20.25" customHeight="1">
      <c r="A41" s="186"/>
      <c r="B41" s="51">
        <f>'Табл.6'!O27</f>
        <v>6184.694590451001</v>
      </c>
      <c r="C41" s="173" t="s">
        <v>141</v>
      </c>
      <c r="D41" s="173"/>
      <c r="E41" s="7"/>
      <c r="F41" s="7"/>
      <c r="G41" s="7"/>
      <c r="H41" s="7"/>
      <c r="I41" s="9"/>
    </row>
    <row r="42" spans="1:9" ht="27.75" customHeight="1">
      <c r="A42" s="186"/>
      <c r="B42" s="172" t="s">
        <v>35</v>
      </c>
      <c r="C42" s="173"/>
      <c r="D42" s="173"/>
      <c r="E42" s="173"/>
      <c r="F42" s="173"/>
      <c r="G42" s="173"/>
      <c r="H42" s="173"/>
      <c r="I42" s="174"/>
    </row>
    <row r="43" spans="1:9" ht="36.75" customHeight="1">
      <c r="A43" s="186"/>
      <c r="B43" s="172" t="s">
        <v>36</v>
      </c>
      <c r="C43" s="173"/>
      <c r="D43" s="173"/>
      <c r="E43" s="173"/>
      <c r="F43" s="173"/>
      <c r="G43" s="173"/>
      <c r="H43" s="173"/>
      <c r="I43" s="174"/>
    </row>
    <row r="44" spans="1:9" ht="39.75" customHeight="1">
      <c r="A44" s="186"/>
      <c r="B44" s="172" t="s">
        <v>37</v>
      </c>
      <c r="C44" s="173"/>
      <c r="D44" s="173"/>
      <c r="E44" s="173"/>
      <c r="F44" s="173"/>
      <c r="G44" s="173"/>
      <c r="H44" s="173"/>
      <c r="I44" s="174"/>
    </row>
    <row r="45" spans="1:9" ht="18" customHeight="1">
      <c r="A45" s="187" t="s">
        <v>38</v>
      </c>
      <c r="B45" s="189" t="s">
        <v>190</v>
      </c>
      <c r="C45" s="190"/>
      <c r="D45" s="190"/>
      <c r="E45" s="190"/>
      <c r="F45" s="190"/>
      <c r="G45" s="190"/>
      <c r="H45" s="190"/>
      <c r="I45" s="191"/>
    </row>
    <row r="46" spans="1:9" ht="21.75" customHeight="1">
      <c r="A46" s="186"/>
      <c r="B46" s="172" t="s">
        <v>192</v>
      </c>
      <c r="C46" s="173"/>
      <c r="D46" s="173"/>
      <c r="E46" s="173"/>
      <c r="F46" s="173"/>
      <c r="G46" s="50">
        <f>'Табл.1'!C4</f>
        <v>1643.1</v>
      </c>
      <c r="H46" s="42" t="s">
        <v>191</v>
      </c>
      <c r="I46" s="46"/>
    </row>
    <row r="47" spans="1:9" ht="26.25" customHeight="1">
      <c r="A47" s="186"/>
      <c r="B47" s="172" t="s">
        <v>39</v>
      </c>
      <c r="C47" s="173"/>
      <c r="D47" s="173"/>
      <c r="E47" s="173"/>
      <c r="F47" s="173"/>
      <c r="G47" s="173"/>
      <c r="H47" s="173"/>
      <c r="I47" s="174"/>
    </row>
    <row r="48" spans="1:9" ht="26.25" customHeight="1">
      <c r="A48" s="186"/>
      <c r="B48" s="192" t="s">
        <v>210</v>
      </c>
      <c r="C48" s="193"/>
      <c r="D48" s="193"/>
      <c r="E48" s="193"/>
      <c r="F48" s="193"/>
      <c r="G48" s="70">
        <v>822.4</v>
      </c>
      <c r="H48" s="47" t="s">
        <v>194</v>
      </c>
      <c r="I48" s="43"/>
    </row>
    <row r="49" spans="1:9" ht="26.25" customHeight="1">
      <c r="A49" s="186"/>
      <c r="B49" s="194" t="s">
        <v>211</v>
      </c>
      <c r="C49" s="195"/>
      <c r="D49" s="195"/>
      <c r="E49" s="195"/>
      <c r="F49" s="195"/>
      <c r="G49" s="70" t="s">
        <v>195</v>
      </c>
      <c r="H49" s="47" t="s">
        <v>194</v>
      </c>
      <c r="I49" s="44"/>
    </row>
    <row r="50" spans="1:9" ht="26.25" customHeight="1">
      <c r="A50" s="186"/>
      <c r="B50" s="194" t="s">
        <v>212</v>
      </c>
      <c r="C50" s="195"/>
      <c r="D50" s="195"/>
      <c r="E50" s="195"/>
      <c r="F50" s="195"/>
      <c r="G50" s="70">
        <v>820.7</v>
      </c>
      <c r="H50" s="47" t="s">
        <v>194</v>
      </c>
      <c r="I50" s="44"/>
    </row>
    <row r="51" spans="1:9" ht="29.25" customHeight="1">
      <c r="A51" s="187" t="s">
        <v>304</v>
      </c>
      <c r="B51" s="189" t="s">
        <v>303</v>
      </c>
      <c r="C51" s="190"/>
      <c r="D51" s="190"/>
      <c r="E51" s="190"/>
      <c r="F51" s="190"/>
      <c r="G51" s="190"/>
      <c r="H51" s="190"/>
      <c r="I51" s="191"/>
    </row>
    <row r="52" spans="1:9" ht="27" customHeight="1">
      <c r="A52" s="188"/>
      <c r="B52" s="196"/>
      <c r="C52" s="197"/>
      <c r="D52" s="197"/>
      <c r="E52" s="197"/>
      <c r="F52" s="197"/>
      <c r="G52" s="197"/>
      <c r="H52" s="197"/>
      <c r="I52" s="198"/>
    </row>
  </sheetData>
  <sheetProtection/>
  <mergeCells count="49">
    <mergeCell ref="B46:F46"/>
    <mergeCell ref="B48:F48"/>
    <mergeCell ref="B49:F49"/>
    <mergeCell ref="B50:F50"/>
    <mergeCell ref="A51:A52"/>
    <mergeCell ref="B51:I51"/>
    <mergeCell ref="B52:I52"/>
    <mergeCell ref="B47:I47"/>
    <mergeCell ref="A45:A50"/>
    <mergeCell ref="B45:I45"/>
    <mergeCell ref="B27:I27"/>
    <mergeCell ref="B28:I28"/>
    <mergeCell ref="A17:A18"/>
    <mergeCell ref="A21:A27"/>
    <mergeCell ref="B26:I26"/>
    <mergeCell ref="B17:I17"/>
    <mergeCell ref="B18:I18"/>
    <mergeCell ref="B19:I19"/>
    <mergeCell ref="B20:I20"/>
    <mergeCell ref="B37:I37"/>
    <mergeCell ref="B38:I38"/>
    <mergeCell ref="B39:I39"/>
    <mergeCell ref="A29:A35"/>
    <mergeCell ref="A36:A37"/>
    <mergeCell ref="A38:A44"/>
    <mergeCell ref="B31:I31"/>
    <mergeCell ref="B32:I32"/>
    <mergeCell ref="B33:I33"/>
    <mergeCell ref="B36:I36"/>
    <mergeCell ref="A9:I9"/>
    <mergeCell ref="A10:I10"/>
    <mergeCell ref="B23:I23"/>
    <mergeCell ref="B24:I24"/>
    <mergeCell ref="B25:I25"/>
    <mergeCell ref="A13:I13"/>
    <mergeCell ref="A14:I14"/>
    <mergeCell ref="B21:I21"/>
    <mergeCell ref="B22:I22"/>
    <mergeCell ref="A11:I11"/>
    <mergeCell ref="B43:I43"/>
    <mergeCell ref="B44:I44"/>
    <mergeCell ref="B16:I16"/>
    <mergeCell ref="B35:I35"/>
    <mergeCell ref="C41:D41"/>
    <mergeCell ref="B42:I42"/>
    <mergeCell ref="B40:I40"/>
    <mergeCell ref="B34:I34"/>
    <mergeCell ref="B29:I29"/>
    <mergeCell ref="B30:I30"/>
  </mergeCells>
  <printOptions/>
  <pageMargins left="1.1811023622047245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39"/>
  <sheetViews>
    <sheetView view="pageBreakPreview" zoomScale="90" zoomScaleSheetLayoutView="90" zoomScalePageLayoutView="0" workbookViewId="0" topLeftCell="A16">
      <selection activeCell="C8" sqref="C8:C9"/>
    </sheetView>
  </sheetViews>
  <sheetFormatPr defaultColWidth="9.140625" defaultRowHeight="15"/>
  <cols>
    <col min="1" max="1" width="20.00390625" style="2" customWidth="1"/>
    <col min="2" max="2" width="46.00390625" style="2" customWidth="1"/>
    <col min="3" max="3" width="26.140625" style="2" customWidth="1"/>
    <col min="4" max="16384" width="9.140625" style="2" customWidth="1"/>
  </cols>
  <sheetData>
    <row r="1" spans="1:3" ht="21" customHeight="1">
      <c r="A1" s="203" t="s">
        <v>373</v>
      </c>
      <c r="B1" s="203"/>
      <c r="C1" s="203"/>
    </row>
    <row r="2" spans="1:3" ht="17.25">
      <c r="A2" s="5"/>
      <c r="B2" s="5"/>
      <c r="C2" s="5"/>
    </row>
    <row r="3" ht="17.25">
      <c r="C3" s="6" t="s">
        <v>43</v>
      </c>
    </row>
    <row r="4" spans="1:3" ht="31.5" customHeight="1">
      <c r="A4" s="206" t="s">
        <v>44</v>
      </c>
      <c r="B4" s="64" t="s">
        <v>45</v>
      </c>
      <c r="C4" s="54">
        <f>C7+C11+C15+C19+C23+C27+C31+C35</f>
        <v>1643.1</v>
      </c>
    </row>
    <row r="5" spans="1:3" ht="29.25" customHeight="1">
      <c r="A5" s="207"/>
      <c r="B5" s="204" t="s">
        <v>193</v>
      </c>
      <c r="C5" s="205"/>
    </row>
    <row r="6" spans="1:3" ht="17.25">
      <c r="A6" s="207"/>
      <c r="B6" s="199"/>
      <c r="C6" s="200"/>
    </row>
    <row r="7" spans="1:3" ht="17.25">
      <c r="A7" s="207"/>
      <c r="B7" s="10" t="s">
        <v>46</v>
      </c>
      <c r="C7" s="151">
        <f>SUM(C8:C10)</f>
        <v>3.8</v>
      </c>
    </row>
    <row r="8" spans="1:3" ht="20.25" customHeight="1">
      <c r="A8" s="207"/>
      <c r="B8" s="12" t="s">
        <v>213</v>
      </c>
      <c r="C8" s="150">
        <v>0</v>
      </c>
    </row>
    <row r="9" spans="1:3" ht="20.25" customHeight="1">
      <c r="A9" s="207"/>
      <c r="B9" s="12" t="s">
        <v>214</v>
      </c>
      <c r="C9" s="150"/>
    </row>
    <row r="10" spans="1:3" ht="17.25">
      <c r="A10" s="207"/>
      <c r="B10" s="12" t="s">
        <v>215</v>
      </c>
      <c r="C10" s="150">
        <v>3.8</v>
      </c>
    </row>
    <row r="11" spans="1:3" ht="17.25">
      <c r="A11" s="207"/>
      <c r="B11" s="10" t="s">
        <v>205</v>
      </c>
      <c r="C11" s="151">
        <f>SUM(C12:C14)</f>
        <v>34.4</v>
      </c>
    </row>
    <row r="12" spans="1:3" ht="17.25">
      <c r="A12" s="207"/>
      <c r="B12" s="12" t="s">
        <v>213</v>
      </c>
      <c r="C12" s="150">
        <v>34.4</v>
      </c>
    </row>
    <row r="13" spans="1:3" ht="17.25">
      <c r="A13" s="207"/>
      <c r="B13" s="12" t="s">
        <v>214</v>
      </c>
      <c r="C13" s="150"/>
    </row>
    <row r="14" spans="1:3" ht="17.25">
      <c r="A14" s="207"/>
      <c r="B14" s="12" t="s">
        <v>215</v>
      </c>
      <c r="C14" s="150"/>
    </row>
    <row r="15" spans="1:3" ht="17.25">
      <c r="A15" s="207"/>
      <c r="B15" s="10" t="s">
        <v>47</v>
      </c>
      <c r="C15" s="151">
        <f>SUM(C16:C18)</f>
        <v>279.9</v>
      </c>
    </row>
    <row r="16" spans="1:3" ht="17.25">
      <c r="A16" s="207"/>
      <c r="B16" s="12" t="s">
        <v>213</v>
      </c>
      <c r="C16" s="150">
        <v>162</v>
      </c>
    </row>
    <row r="17" spans="1:3" ht="17.25">
      <c r="A17" s="207"/>
      <c r="B17" s="12" t="s">
        <v>214</v>
      </c>
      <c r="C17" s="150"/>
    </row>
    <row r="18" spans="1:3" ht="17.25">
      <c r="A18" s="207"/>
      <c r="B18" s="12" t="s">
        <v>215</v>
      </c>
      <c r="C18" s="150">
        <v>117.9</v>
      </c>
    </row>
    <row r="19" spans="1:3" ht="17.25">
      <c r="A19" s="207"/>
      <c r="B19" s="10" t="s">
        <v>48</v>
      </c>
      <c r="C19" s="152">
        <f>SUM(C20:C22)</f>
        <v>290</v>
      </c>
    </row>
    <row r="20" spans="1:3" ht="17.25">
      <c r="A20" s="207"/>
      <c r="B20" s="12" t="s">
        <v>213</v>
      </c>
      <c r="C20" s="150">
        <v>40</v>
      </c>
    </row>
    <row r="21" spans="1:3" ht="17.25">
      <c r="A21" s="207"/>
      <c r="B21" s="12" t="s">
        <v>214</v>
      </c>
      <c r="C21" s="150"/>
    </row>
    <row r="22" spans="1:3" ht="17.25">
      <c r="A22" s="207"/>
      <c r="B22" s="12" t="s">
        <v>215</v>
      </c>
      <c r="C22" s="150">
        <v>250</v>
      </c>
    </row>
    <row r="23" spans="1:3" ht="17.25">
      <c r="A23" s="207"/>
      <c r="B23" s="10" t="s">
        <v>49</v>
      </c>
      <c r="C23" s="151">
        <f>SUM(C24:C26)</f>
        <v>250</v>
      </c>
    </row>
    <row r="24" spans="1:3" ht="17.25">
      <c r="A24" s="207"/>
      <c r="B24" s="12" t="s">
        <v>213</v>
      </c>
      <c r="C24" s="150"/>
    </row>
    <row r="25" spans="1:3" ht="17.25">
      <c r="A25" s="207"/>
      <c r="B25" s="12" t="s">
        <v>214</v>
      </c>
      <c r="C25" s="153"/>
    </row>
    <row r="26" spans="1:3" ht="17.25">
      <c r="A26" s="207"/>
      <c r="B26" s="12" t="s">
        <v>215</v>
      </c>
      <c r="C26" s="153">
        <v>250</v>
      </c>
    </row>
    <row r="27" spans="1:3" ht="17.25">
      <c r="A27" s="207"/>
      <c r="B27" s="10" t="s">
        <v>235</v>
      </c>
      <c r="C27" s="154">
        <f>SUM(C28:C30)</f>
        <v>785</v>
      </c>
    </row>
    <row r="28" spans="1:3" ht="17.25">
      <c r="A28" s="207"/>
      <c r="B28" s="12" t="s">
        <v>213</v>
      </c>
      <c r="C28" s="153">
        <v>586</v>
      </c>
    </row>
    <row r="29" spans="1:3" ht="17.25">
      <c r="A29" s="207"/>
      <c r="B29" s="12" t="s">
        <v>214</v>
      </c>
      <c r="C29" s="153"/>
    </row>
    <row r="30" spans="1:3" ht="17.25">
      <c r="A30" s="207"/>
      <c r="B30" s="12" t="s">
        <v>215</v>
      </c>
      <c r="C30" s="153">
        <v>199</v>
      </c>
    </row>
    <row r="31" spans="1:3" ht="17.25">
      <c r="A31" s="207"/>
      <c r="B31" s="10" t="s">
        <v>236</v>
      </c>
      <c r="C31" s="154">
        <f>SUM(C32:C34)</f>
        <v>0</v>
      </c>
    </row>
    <row r="32" spans="1:3" ht="17.25">
      <c r="A32" s="207"/>
      <c r="B32" s="12" t="s">
        <v>213</v>
      </c>
      <c r="C32" s="153"/>
    </row>
    <row r="33" spans="1:3" ht="17.25">
      <c r="A33" s="207"/>
      <c r="B33" s="12" t="s">
        <v>214</v>
      </c>
      <c r="C33" s="153"/>
    </row>
    <row r="34" spans="1:3" ht="17.25">
      <c r="A34" s="207"/>
      <c r="B34" s="12" t="s">
        <v>215</v>
      </c>
      <c r="C34" s="153"/>
    </row>
    <row r="35" spans="1:3" ht="17.25">
      <c r="A35" s="207"/>
      <c r="B35" s="10" t="s">
        <v>237</v>
      </c>
      <c r="C35" s="154">
        <f>SUM(C36:C38)</f>
        <v>0</v>
      </c>
    </row>
    <row r="36" spans="1:3" ht="17.25">
      <c r="A36" s="207"/>
      <c r="B36" s="12" t="s">
        <v>213</v>
      </c>
      <c r="C36" s="153"/>
    </row>
    <row r="37" spans="1:3" ht="17.25">
      <c r="A37" s="207"/>
      <c r="B37" s="12" t="s">
        <v>214</v>
      </c>
      <c r="C37" s="153"/>
    </row>
    <row r="38" spans="1:3" ht="17.25">
      <c r="A38" s="208"/>
      <c r="B38" s="12" t="s">
        <v>215</v>
      </c>
      <c r="C38" s="153"/>
    </row>
    <row r="39" spans="1:3" ht="127.5" customHeight="1">
      <c r="A39" s="11" t="s">
        <v>50</v>
      </c>
      <c r="B39" s="201" t="s">
        <v>295</v>
      </c>
      <c r="C39" s="202"/>
    </row>
  </sheetData>
  <sheetProtection/>
  <mergeCells count="5">
    <mergeCell ref="B6:C6"/>
    <mergeCell ref="B39:C39"/>
    <mergeCell ref="A1:C1"/>
    <mergeCell ref="B5:C5"/>
    <mergeCell ref="A4:A38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ignoredErrors>
    <ignoredError sqref="C7:C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64"/>
  <sheetViews>
    <sheetView view="pageBreakPreview" zoomScaleSheetLayoutView="100" workbookViewId="0" topLeftCell="A25">
      <selection activeCell="B32" sqref="B32"/>
    </sheetView>
  </sheetViews>
  <sheetFormatPr defaultColWidth="9.140625" defaultRowHeight="15"/>
  <cols>
    <col min="1" max="1" width="73.28125" style="2" customWidth="1"/>
    <col min="2" max="2" width="55.421875" style="2" customWidth="1"/>
    <col min="3" max="3" width="9.7109375" style="2" customWidth="1"/>
    <col min="4" max="4" width="10.00390625" style="2" customWidth="1"/>
    <col min="5" max="16384" width="9.140625" style="2" customWidth="1"/>
  </cols>
  <sheetData>
    <row r="1" spans="1:2" ht="22.5" customHeight="1">
      <c r="A1" s="203" t="s">
        <v>51</v>
      </c>
      <c r="B1" s="203"/>
    </row>
    <row r="2" spans="1:2" ht="17.25">
      <c r="A2" s="5"/>
      <c r="B2" s="5"/>
    </row>
    <row r="3" ht="17.25">
      <c r="B3" s="6" t="s">
        <v>52</v>
      </c>
    </row>
    <row r="4" spans="1:2" ht="20.25" customHeight="1">
      <c r="A4" s="209" t="s">
        <v>319</v>
      </c>
      <c r="B4" s="209"/>
    </row>
    <row r="5" spans="1:2" ht="38.25" customHeight="1">
      <c r="A5" s="86" t="s">
        <v>263</v>
      </c>
      <c r="B5" s="86" t="s">
        <v>264</v>
      </c>
    </row>
    <row r="6" spans="1:2" s="77" customFormat="1" ht="17.25">
      <c r="A6" s="12" t="s">
        <v>53</v>
      </c>
      <c r="B6" s="71"/>
    </row>
    <row r="7" spans="1:2" s="77" customFormat="1" ht="17.25">
      <c r="A7" s="12" t="s">
        <v>347</v>
      </c>
      <c r="B7" s="71"/>
    </row>
    <row r="8" spans="1:2" s="77" customFormat="1" ht="17.25">
      <c r="A8" s="12" t="s">
        <v>348</v>
      </c>
      <c r="B8" s="71"/>
    </row>
    <row r="9" spans="1:2" s="77" customFormat="1" ht="17.25">
      <c r="A9" s="12" t="s">
        <v>54</v>
      </c>
      <c r="B9" s="13"/>
    </row>
    <row r="10" spans="1:2" s="77" customFormat="1" ht="17.25">
      <c r="A10" s="12" t="s">
        <v>273</v>
      </c>
      <c r="B10" s="13"/>
    </row>
    <row r="11" spans="1:2" s="77" customFormat="1" ht="17.25">
      <c r="A11" s="12" t="s">
        <v>274</v>
      </c>
      <c r="B11" s="14"/>
    </row>
    <row r="12" spans="1:2" s="77" customFormat="1" ht="17.25">
      <c r="A12" s="85" t="s">
        <v>275</v>
      </c>
      <c r="B12" s="14"/>
    </row>
    <row r="13" spans="1:2" s="77" customFormat="1" ht="17.25">
      <c r="A13" s="88" t="s">
        <v>276</v>
      </c>
      <c r="B13" s="89"/>
    </row>
    <row r="14" spans="1:2" s="77" customFormat="1" ht="17.25">
      <c r="A14" s="85" t="s">
        <v>275</v>
      </c>
      <c r="B14" s="13"/>
    </row>
    <row r="15" spans="1:2" s="77" customFormat="1" ht="17.25">
      <c r="A15" s="86" t="s">
        <v>349</v>
      </c>
      <c r="B15" s="15"/>
    </row>
    <row r="16" spans="1:2" s="77" customFormat="1" ht="17.25">
      <c r="A16" s="86" t="s">
        <v>350</v>
      </c>
      <c r="B16" s="15"/>
    </row>
    <row r="17" spans="1:2" s="77" customFormat="1" ht="17.25">
      <c r="A17" s="86" t="s">
        <v>198</v>
      </c>
      <c r="B17" s="15"/>
    </row>
    <row r="18" spans="1:2" s="77" customFormat="1" ht="17.25">
      <c r="A18" s="12" t="s">
        <v>255</v>
      </c>
      <c r="B18" s="15"/>
    </row>
    <row r="19" spans="1:2" s="77" customFormat="1" ht="17.25">
      <c r="A19" s="12" t="s">
        <v>254</v>
      </c>
      <c r="B19" s="15"/>
    </row>
    <row r="20" spans="1:2" s="77" customFormat="1" ht="17.25">
      <c r="A20" s="12" t="s">
        <v>252</v>
      </c>
      <c r="B20" s="15"/>
    </row>
    <row r="21" spans="1:2" s="77" customFormat="1" ht="17.25">
      <c r="A21" s="85" t="s">
        <v>55</v>
      </c>
      <c r="B21" s="90">
        <v>0</v>
      </c>
    </row>
    <row r="22" spans="1:2" s="77" customFormat="1" ht="17.25">
      <c r="A22" s="12" t="s">
        <v>253</v>
      </c>
      <c r="B22" s="15"/>
    </row>
    <row r="23" spans="1:2" s="77" customFormat="1" ht="17.25">
      <c r="A23" s="85" t="s">
        <v>55</v>
      </c>
      <c r="B23" s="90">
        <v>0</v>
      </c>
    </row>
    <row r="24" spans="1:2" s="77" customFormat="1" ht="34.5">
      <c r="A24" s="12" t="s">
        <v>256</v>
      </c>
      <c r="B24" s="13"/>
    </row>
    <row r="25" spans="1:2" s="77" customFormat="1" ht="17.25">
      <c r="A25" s="85" t="s">
        <v>57</v>
      </c>
      <c r="B25" s="13"/>
    </row>
    <row r="26" spans="1:2" s="77" customFormat="1" ht="17.25">
      <c r="A26" s="85" t="s">
        <v>58</v>
      </c>
      <c r="B26" s="13"/>
    </row>
    <row r="27" spans="1:2" s="77" customFormat="1" ht="17.25">
      <c r="A27" s="12" t="s">
        <v>257</v>
      </c>
      <c r="B27" s="13"/>
    </row>
    <row r="28" spans="1:2" s="77" customFormat="1" ht="17.25">
      <c r="A28" s="12" t="s">
        <v>258</v>
      </c>
      <c r="B28" s="13"/>
    </row>
    <row r="29" spans="1:2" s="77" customFormat="1" ht="34.5">
      <c r="A29" s="12" t="s">
        <v>259</v>
      </c>
      <c r="B29" s="13"/>
    </row>
    <row r="30" spans="1:2" s="77" customFormat="1" ht="45" customHeight="1">
      <c r="A30" s="12" t="s">
        <v>260</v>
      </c>
      <c r="B30" s="13"/>
    </row>
    <row r="31" spans="1:2" s="77" customFormat="1" ht="49.5" customHeight="1">
      <c r="A31" s="12" t="s">
        <v>261</v>
      </c>
      <c r="B31" s="13"/>
    </row>
    <row r="32" spans="1:2" s="77" customFormat="1" ht="47.25" customHeight="1">
      <c r="A32" s="12" t="s">
        <v>262</v>
      </c>
      <c r="B32" s="13"/>
    </row>
    <row r="33" spans="1:2" s="77" customFormat="1" ht="40.5" customHeight="1">
      <c r="A33" s="12" t="s">
        <v>265</v>
      </c>
      <c r="B33" s="13"/>
    </row>
    <row r="34" spans="1:2" s="77" customFormat="1" ht="51.75" customHeight="1">
      <c r="A34" s="12" t="s">
        <v>266</v>
      </c>
      <c r="B34" s="13"/>
    </row>
    <row r="35" spans="1:2" s="77" customFormat="1" ht="17.25">
      <c r="A35" s="86" t="s">
        <v>282</v>
      </c>
      <c r="B35" s="15"/>
    </row>
    <row r="36" spans="1:2" s="77" customFormat="1" ht="17.25">
      <c r="A36" s="85" t="s">
        <v>271</v>
      </c>
      <c r="B36" s="15"/>
    </row>
    <row r="37" spans="1:2" s="77" customFormat="1" ht="17.25">
      <c r="A37" s="85" t="s">
        <v>272</v>
      </c>
      <c r="B37" s="15"/>
    </row>
    <row r="38" spans="1:2" s="77" customFormat="1" ht="17.25">
      <c r="A38" s="85" t="s">
        <v>267</v>
      </c>
      <c r="B38" s="15"/>
    </row>
    <row r="39" spans="1:2" s="77" customFormat="1" ht="18.75" customHeight="1">
      <c r="A39" s="12" t="s">
        <v>268</v>
      </c>
      <c r="B39" s="13"/>
    </row>
    <row r="40" spans="1:2" s="77" customFormat="1" ht="17.25" customHeight="1">
      <c r="A40" s="85" t="s">
        <v>271</v>
      </c>
      <c r="B40" s="13"/>
    </row>
    <row r="41" spans="1:2" s="77" customFormat="1" ht="17.25" customHeight="1">
      <c r="A41" s="85" t="s">
        <v>272</v>
      </c>
      <c r="B41" s="13"/>
    </row>
    <row r="42" spans="1:2" s="77" customFormat="1" ht="18" customHeight="1">
      <c r="A42" s="85" t="s">
        <v>267</v>
      </c>
      <c r="B42" s="13"/>
    </row>
    <row r="43" spans="1:2" s="77" customFormat="1" ht="32.25" customHeight="1">
      <c r="A43" s="85" t="s">
        <v>269</v>
      </c>
      <c r="B43" s="13"/>
    </row>
    <row r="44" spans="1:2" s="77" customFormat="1" ht="19.5" customHeight="1">
      <c r="A44" s="86" t="s">
        <v>289</v>
      </c>
      <c r="B44" s="13"/>
    </row>
    <row r="45" spans="1:2" s="77" customFormat="1" ht="18" customHeight="1">
      <c r="A45" s="85" t="s">
        <v>290</v>
      </c>
      <c r="B45" s="13"/>
    </row>
    <row r="46" spans="1:2" s="77" customFormat="1" ht="16.5" customHeight="1">
      <c r="A46" s="85" t="s">
        <v>272</v>
      </c>
      <c r="B46" s="13"/>
    </row>
    <row r="47" spans="1:2" s="77" customFormat="1" ht="17.25">
      <c r="A47" s="78" t="s">
        <v>277</v>
      </c>
      <c r="B47" s="78"/>
    </row>
    <row r="48" spans="1:2" s="77" customFormat="1" ht="17.25">
      <c r="A48" s="87" t="s">
        <v>270</v>
      </c>
      <c r="B48" s="78"/>
    </row>
    <row r="49" spans="1:2" ht="17.25">
      <c r="A49" s="78" t="s">
        <v>278</v>
      </c>
      <c r="B49" s="79"/>
    </row>
    <row r="50" spans="1:2" ht="17.25">
      <c r="A50" s="87" t="s">
        <v>270</v>
      </c>
      <c r="B50" s="79"/>
    </row>
    <row r="51" spans="1:2" ht="20.25" customHeight="1">
      <c r="A51" s="78" t="s">
        <v>279</v>
      </c>
      <c r="B51" s="79"/>
    </row>
    <row r="52" spans="1:2" ht="20.25" customHeight="1">
      <c r="A52" s="87" t="s">
        <v>270</v>
      </c>
      <c r="B52" s="79"/>
    </row>
    <row r="53" spans="1:2" ht="17.25">
      <c r="A53" s="78" t="s">
        <v>280</v>
      </c>
      <c r="B53" s="79"/>
    </row>
    <row r="54" spans="1:2" ht="17.25">
      <c r="A54" s="87" t="s">
        <v>270</v>
      </c>
      <c r="B54" s="79"/>
    </row>
    <row r="55" spans="1:2" ht="17.25">
      <c r="A55" s="78" t="s">
        <v>281</v>
      </c>
      <c r="B55" s="79"/>
    </row>
    <row r="56" ht="17.25">
      <c r="A56" s="87" t="s">
        <v>270</v>
      </c>
    </row>
    <row r="57" spans="1:2" s="77" customFormat="1" ht="17.25">
      <c r="A57" s="68" t="s">
        <v>249</v>
      </c>
      <c r="B57" s="72"/>
    </row>
    <row r="58" spans="1:2" s="77" customFormat="1" ht="17.25">
      <c r="A58" s="84" t="s">
        <v>250</v>
      </c>
      <c r="B58" s="72"/>
    </row>
    <row r="59" spans="1:2" s="77" customFormat="1" ht="17.25" customHeight="1">
      <c r="A59" s="84" t="s">
        <v>251</v>
      </c>
      <c r="B59" s="72"/>
    </row>
    <row r="60" spans="1:2" s="77" customFormat="1" ht="51.75">
      <c r="A60" s="12" t="s">
        <v>59</v>
      </c>
      <c r="B60" s="13"/>
    </row>
    <row r="61" spans="1:2" s="77" customFormat="1" ht="17.25">
      <c r="A61" s="85" t="s">
        <v>285</v>
      </c>
      <c r="B61" s="13"/>
    </row>
    <row r="62" spans="1:2" s="77" customFormat="1" ht="17.25">
      <c r="A62" s="85" t="s">
        <v>286</v>
      </c>
      <c r="B62" s="13"/>
    </row>
    <row r="63" spans="1:2" s="77" customFormat="1" ht="26.25" customHeight="1">
      <c r="A63" s="12" t="s">
        <v>283</v>
      </c>
      <c r="B63" s="13"/>
    </row>
    <row r="64" spans="1:2" s="77" customFormat="1" ht="17.25">
      <c r="A64" s="12" t="s">
        <v>284</v>
      </c>
      <c r="B64" s="13"/>
    </row>
  </sheetData>
  <sheetProtection/>
  <mergeCells count="2">
    <mergeCell ref="A4:B4"/>
    <mergeCell ref="A1:B1"/>
  </mergeCells>
  <printOptions/>
  <pageMargins left="1.1811023622047245" right="0.5118110236220472" top="0.5511811023622047" bottom="0.5511811023622047" header="0.31496062992125984" footer="0.31496062992125984"/>
  <pageSetup fitToHeight="1" fitToWidth="1" horizontalDpi="600" verticalDpi="600" orientation="portrait" paperSize="9" scale="5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7"/>
  <sheetViews>
    <sheetView zoomScale="90" zoomScaleNormal="90" zoomScaleSheetLayoutView="72" zoomScalePageLayoutView="0" workbookViewId="0" topLeftCell="A1">
      <selection activeCell="N13" sqref="N13:S15"/>
    </sheetView>
  </sheetViews>
  <sheetFormatPr defaultColWidth="9.140625" defaultRowHeight="15"/>
  <cols>
    <col min="1" max="1" width="13.00390625" style="1" customWidth="1"/>
    <col min="2" max="2" width="8.8515625" style="1" customWidth="1"/>
    <col min="3" max="3" width="13.7109375" style="1" customWidth="1"/>
    <col min="4" max="4" width="8.7109375" style="1" customWidth="1"/>
    <col min="5" max="5" width="13.7109375" style="1" customWidth="1"/>
    <col min="6" max="6" width="8.8515625" style="1" customWidth="1"/>
    <col min="7" max="7" width="13.7109375" style="1" customWidth="1"/>
    <col min="8" max="8" width="8.8515625" style="1" customWidth="1"/>
    <col min="9" max="9" width="13.7109375" style="1" customWidth="1"/>
    <col min="10" max="11" width="13.28125" style="1" customWidth="1"/>
    <col min="12" max="12" width="8.8515625" style="1" customWidth="1"/>
    <col min="13" max="13" width="13.7109375" style="1" customWidth="1"/>
    <col min="14" max="14" width="8.8515625" style="1" customWidth="1"/>
    <col min="15" max="15" width="13.7109375" style="1" customWidth="1"/>
    <col min="16" max="16" width="8.8515625" style="1" customWidth="1"/>
    <col min="17" max="17" width="13.7109375" style="1" customWidth="1"/>
    <col min="18" max="18" width="8.8515625" style="1" customWidth="1"/>
    <col min="19" max="19" width="13.7109375" style="1" customWidth="1"/>
    <col min="20" max="20" width="9.140625" style="1" customWidth="1"/>
    <col min="21" max="21" width="10.00390625" style="1" customWidth="1"/>
    <col min="22" max="25" width="11.7109375" style="1" customWidth="1"/>
    <col min="26" max="26" width="12.7109375" style="1" customWidth="1"/>
    <col min="27" max="28" width="9.140625" style="1" customWidth="1"/>
    <col min="29" max="29" width="40.28125" style="1" customWidth="1"/>
    <col min="30" max="16384" width="9.140625" style="1" customWidth="1"/>
  </cols>
  <sheetData>
    <row r="1" spans="1:19" ht="21" customHeight="1">
      <c r="A1" s="203" t="s">
        <v>247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.75">
      <c r="A2" s="20"/>
      <c r="B2" s="20"/>
      <c r="C2" s="20"/>
      <c r="D2" s="20"/>
      <c r="E2" s="20"/>
      <c r="F2" s="23"/>
      <c r="G2" s="23"/>
      <c r="H2" s="23"/>
      <c r="I2" s="23"/>
      <c r="J2" s="23"/>
      <c r="K2" s="23"/>
      <c r="L2" s="23"/>
      <c r="M2" s="23"/>
      <c r="N2" s="20"/>
      <c r="O2" s="20"/>
      <c r="P2" s="20"/>
      <c r="Q2" s="20"/>
      <c r="R2" s="20"/>
      <c r="S2" s="20"/>
    </row>
    <row r="3" spans="6:19" ht="23.25" customHeight="1">
      <c r="F3" s="228"/>
      <c r="G3" s="228"/>
      <c r="H3" s="228"/>
      <c r="I3" s="228"/>
      <c r="J3" s="228"/>
      <c r="K3" s="228"/>
      <c r="L3" s="228"/>
      <c r="R3" s="242" t="s">
        <v>60</v>
      </c>
      <c r="S3" s="242"/>
    </row>
    <row r="4" spans="1:25" ht="54" customHeight="1">
      <c r="A4" s="250" t="s">
        <v>123</v>
      </c>
      <c r="B4" s="218" t="s">
        <v>115</v>
      </c>
      <c r="C4" s="219"/>
      <c r="D4" s="218" t="s">
        <v>116</v>
      </c>
      <c r="E4" s="219"/>
      <c r="F4" s="218" t="s">
        <v>122</v>
      </c>
      <c r="G4" s="219"/>
      <c r="H4" s="231" t="s">
        <v>208</v>
      </c>
      <c r="I4" s="232"/>
      <c r="J4" s="218" t="s">
        <v>121</v>
      </c>
      <c r="K4" s="219"/>
      <c r="L4" s="218" t="s">
        <v>92</v>
      </c>
      <c r="M4" s="219"/>
      <c r="N4" s="218" t="s">
        <v>118</v>
      </c>
      <c r="O4" s="219"/>
      <c r="P4" s="239" t="s">
        <v>117</v>
      </c>
      <c r="Q4" s="240"/>
      <c r="R4" s="240"/>
      <c r="S4" s="241"/>
      <c r="U4" s="243" t="s">
        <v>330</v>
      </c>
      <c r="V4" s="246"/>
      <c r="W4" s="246"/>
      <c r="X4" s="246"/>
      <c r="Y4" s="247"/>
    </row>
    <row r="5" spans="1:25" ht="47.25" customHeight="1">
      <c r="A5" s="251"/>
      <c r="B5" s="229"/>
      <c r="C5" s="230"/>
      <c r="D5" s="229"/>
      <c r="E5" s="230"/>
      <c r="F5" s="229"/>
      <c r="G5" s="230"/>
      <c r="H5" s="233"/>
      <c r="I5" s="234"/>
      <c r="J5" s="229"/>
      <c r="K5" s="230"/>
      <c r="L5" s="229"/>
      <c r="M5" s="230"/>
      <c r="N5" s="229"/>
      <c r="O5" s="230"/>
      <c r="P5" s="218" t="s">
        <v>220</v>
      </c>
      <c r="Q5" s="219"/>
      <c r="R5" s="218" t="s">
        <v>221</v>
      </c>
      <c r="S5" s="219"/>
      <c r="U5" s="63"/>
      <c r="V5" s="91" t="s">
        <v>202</v>
      </c>
      <c r="W5" s="91" t="s">
        <v>203</v>
      </c>
      <c r="X5" s="91" t="s">
        <v>216</v>
      </c>
      <c r="Y5" s="91" t="s">
        <v>219</v>
      </c>
    </row>
    <row r="6" spans="1:25" ht="22.5" customHeight="1">
      <c r="A6" s="251"/>
      <c r="B6" s="220"/>
      <c r="C6" s="221"/>
      <c r="D6" s="220"/>
      <c r="E6" s="221"/>
      <c r="F6" s="220"/>
      <c r="G6" s="221"/>
      <c r="H6" s="235"/>
      <c r="I6" s="236"/>
      <c r="J6" s="220"/>
      <c r="K6" s="221"/>
      <c r="L6" s="220"/>
      <c r="M6" s="221"/>
      <c r="N6" s="220"/>
      <c r="O6" s="221"/>
      <c r="P6" s="220"/>
      <c r="Q6" s="221"/>
      <c r="R6" s="220"/>
      <c r="S6" s="221"/>
      <c r="U6" s="56" t="s">
        <v>61</v>
      </c>
      <c r="V6" s="27">
        <v>3.3</v>
      </c>
      <c r="W6" s="65">
        <v>1150</v>
      </c>
      <c r="X6" s="57">
        <v>79</v>
      </c>
      <c r="Y6" s="57">
        <v>200</v>
      </c>
    </row>
    <row r="7" spans="1:25" ht="24" customHeight="1">
      <c r="A7" s="252"/>
      <c r="B7" s="98" t="s">
        <v>98</v>
      </c>
      <c r="C7" s="98" t="s">
        <v>113</v>
      </c>
      <c r="D7" s="98" t="s">
        <v>114</v>
      </c>
      <c r="E7" s="98" t="s">
        <v>113</v>
      </c>
      <c r="F7" s="98" t="s">
        <v>114</v>
      </c>
      <c r="G7" s="98" t="s">
        <v>113</v>
      </c>
      <c r="H7" s="98" t="s">
        <v>98</v>
      </c>
      <c r="I7" s="98" t="s">
        <v>113</v>
      </c>
      <c r="J7" s="98" t="s">
        <v>306</v>
      </c>
      <c r="K7" s="98" t="s">
        <v>113</v>
      </c>
      <c r="L7" s="98" t="s">
        <v>120</v>
      </c>
      <c r="M7" s="98" t="s">
        <v>113</v>
      </c>
      <c r="N7" s="98" t="s">
        <v>119</v>
      </c>
      <c r="O7" s="98" t="s">
        <v>113</v>
      </c>
      <c r="P7" s="98" t="s">
        <v>98</v>
      </c>
      <c r="Q7" s="98" t="s">
        <v>113</v>
      </c>
      <c r="R7" s="98" t="s">
        <v>98</v>
      </c>
      <c r="S7" s="98" t="s">
        <v>113</v>
      </c>
      <c r="U7" s="56" t="s">
        <v>200</v>
      </c>
      <c r="V7" s="27">
        <v>3.85</v>
      </c>
      <c r="W7" s="65">
        <v>1250</v>
      </c>
      <c r="X7" s="57">
        <v>80</v>
      </c>
      <c r="Y7" s="57"/>
    </row>
    <row r="8" spans="1:25" ht="24.75" customHeight="1">
      <c r="A8" s="21" t="s">
        <v>61</v>
      </c>
      <c r="B8" s="105">
        <v>1000</v>
      </c>
      <c r="C8" s="144">
        <v>200000</v>
      </c>
      <c r="D8" s="105">
        <v>1000</v>
      </c>
      <c r="E8" s="144">
        <v>2500000</v>
      </c>
      <c r="F8" s="105">
        <v>25</v>
      </c>
      <c r="G8" s="131">
        <v>60000</v>
      </c>
      <c r="H8" s="105">
        <v>1000</v>
      </c>
      <c r="I8" s="144">
        <v>500000</v>
      </c>
      <c r="J8" s="105"/>
      <c r="K8" s="144"/>
      <c r="L8" s="105">
        <v>5200</v>
      </c>
      <c r="M8" s="132">
        <v>5980000</v>
      </c>
      <c r="N8" s="133">
        <v>149867</v>
      </c>
      <c r="O8" s="133">
        <v>494561.1</v>
      </c>
      <c r="P8" s="133">
        <v>1820</v>
      </c>
      <c r="Q8" s="133">
        <v>143780</v>
      </c>
      <c r="R8" s="133">
        <v>1000</v>
      </c>
      <c r="S8" s="133">
        <v>200000</v>
      </c>
      <c r="U8" s="56" t="s">
        <v>201</v>
      </c>
      <c r="V8" s="27">
        <v>5.99</v>
      </c>
      <c r="W8" s="65">
        <v>1350</v>
      </c>
      <c r="X8" s="57">
        <v>89</v>
      </c>
      <c r="Y8" s="57"/>
    </row>
    <row r="9" spans="1:25" ht="24.75" customHeight="1">
      <c r="A9" s="243" t="s">
        <v>206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5"/>
      <c r="U9" s="56" t="s">
        <v>238</v>
      </c>
      <c r="V9" s="27">
        <v>6.28</v>
      </c>
      <c r="W9" s="57">
        <v>1450</v>
      </c>
      <c r="X9" s="57">
        <v>90</v>
      </c>
      <c r="Y9" s="57"/>
    </row>
    <row r="10" spans="1:25" ht="23.25" customHeight="1">
      <c r="A10" s="256" t="s">
        <v>207</v>
      </c>
      <c r="B10" s="226" t="s">
        <v>291</v>
      </c>
      <c r="C10" s="227"/>
      <c r="D10" s="226" t="s">
        <v>292</v>
      </c>
      <c r="E10" s="227"/>
      <c r="F10" s="226" t="s">
        <v>292</v>
      </c>
      <c r="G10" s="227"/>
      <c r="H10" s="226" t="s">
        <v>291</v>
      </c>
      <c r="I10" s="227"/>
      <c r="J10" s="226" t="s">
        <v>305</v>
      </c>
      <c r="K10" s="227"/>
      <c r="L10" s="226" t="s">
        <v>62</v>
      </c>
      <c r="M10" s="227"/>
      <c r="N10" s="226" t="s">
        <v>71</v>
      </c>
      <c r="O10" s="227"/>
      <c r="P10" s="226" t="s">
        <v>64</v>
      </c>
      <c r="Q10" s="227"/>
      <c r="R10" s="226" t="s">
        <v>64</v>
      </c>
      <c r="S10" s="227"/>
      <c r="U10" s="56" t="s">
        <v>239</v>
      </c>
      <c r="V10" s="56"/>
      <c r="W10" s="56"/>
      <c r="X10" s="56"/>
      <c r="Y10" s="56"/>
    </row>
    <row r="11" spans="1:25" ht="25.5" customHeight="1">
      <c r="A11" s="256"/>
      <c r="B11" s="224">
        <f>B8/J16</f>
        <v>1.1693171188026192</v>
      </c>
      <c r="C11" s="225"/>
      <c r="D11" s="224">
        <f>D8/J16</f>
        <v>1.1693171188026192</v>
      </c>
      <c r="E11" s="225"/>
      <c r="F11" s="224">
        <f>F8/J16</f>
        <v>0.02923292797006548</v>
      </c>
      <c r="G11" s="225"/>
      <c r="H11" s="224">
        <f>H8/J16</f>
        <v>1.1693171188026192</v>
      </c>
      <c r="I11" s="225"/>
      <c r="J11" s="224">
        <f>J8/100</f>
        <v>0</v>
      </c>
      <c r="K11" s="225"/>
      <c r="L11" s="224">
        <f>L8/J16</f>
        <v>6.08044901777362</v>
      </c>
      <c r="M11" s="225"/>
      <c r="N11" s="222">
        <f>N8/(J23+J24)</f>
        <v>465.4254658385093</v>
      </c>
      <c r="O11" s="223"/>
      <c r="P11" s="222">
        <f>P8/(J23+J24)</f>
        <v>5.6521739130434785</v>
      </c>
      <c r="Q11" s="223"/>
      <c r="R11" s="222">
        <f>R8/(J23+J24)</f>
        <v>3.1055900621118013</v>
      </c>
      <c r="S11" s="223"/>
      <c r="U11" s="56" t="s">
        <v>240</v>
      </c>
      <c r="V11" s="56"/>
      <c r="W11" s="56"/>
      <c r="X11" s="56"/>
      <c r="Y11" s="56"/>
    </row>
    <row r="12" spans="1:25" ht="35.25" customHeight="1">
      <c r="A12" s="212" t="s">
        <v>372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U12" s="56" t="s">
        <v>241</v>
      </c>
      <c r="V12" s="56"/>
      <c r="W12" s="56"/>
      <c r="X12" s="56"/>
      <c r="Y12" s="56"/>
    </row>
    <row r="13" spans="1:25" ht="27.75" customHeight="1">
      <c r="A13" s="237" t="s">
        <v>353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147"/>
      <c r="M13" s="23"/>
      <c r="N13" s="255" t="s">
        <v>329</v>
      </c>
      <c r="O13" s="255"/>
      <c r="P13" s="255"/>
      <c r="Q13" s="255"/>
      <c r="R13" s="255"/>
      <c r="S13" s="255"/>
      <c r="U13" s="56" t="s">
        <v>242</v>
      </c>
      <c r="V13" s="56"/>
      <c r="W13" s="56"/>
      <c r="X13" s="56"/>
      <c r="Y13" s="56"/>
    </row>
    <row r="14" spans="1:25" ht="62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148" t="s">
        <v>355</v>
      </c>
      <c r="K14" s="98" t="s">
        <v>354</v>
      </c>
      <c r="L14" s="23"/>
      <c r="M14" s="23"/>
      <c r="N14" s="255"/>
      <c r="O14" s="255"/>
      <c r="P14" s="255"/>
      <c r="Q14" s="255"/>
      <c r="R14" s="255"/>
      <c r="S14" s="255"/>
      <c r="U14" s="56" t="s">
        <v>243</v>
      </c>
      <c r="V14" s="56"/>
      <c r="W14" s="56"/>
      <c r="X14" s="56"/>
      <c r="Y14" s="56"/>
    </row>
    <row r="15" spans="1:25" ht="30" customHeight="1">
      <c r="A15" s="216" t="s">
        <v>217</v>
      </c>
      <c r="B15" s="217"/>
      <c r="C15" s="217"/>
      <c r="D15" s="217"/>
      <c r="E15" s="217"/>
      <c r="F15" s="217"/>
      <c r="G15" s="217"/>
      <c r="H15" s="217"/>
      <c r="I15" s="217"/>
      <c r="J15" s="96">
        <v>1049.9</v>
      </c>
      <c r="K15" s="96">
        <v>1049.9</v>
      </c>
      <c r="L15" s="93"/>
      <c r="M15" s="24"/>
      <c r="N15" s="255"/>
      <c r="O15" s="255"/>
      <c r="P15" s="255"/>
      <c r="Q15" s="255"/>
      <c r="R15" s="255"/>
      <c r="S15" s="255"/>
      <c r="U15" s="56" t="s">
        <v>244</v>
      </c>
      <c r="V15" s="56"/>
      <c r="W15" s="56"/>
      <c r="X15" s="56"/>
      <c r="Y15" s="56"/>
    </row>
    <row r="16" spans="1:25" ht="30" customHeight="1">
      <c r="A16" s="216" t="s">
        <v>66</v>
      </c>
      <c r="B16" s="217"/>
      <c r="C16" s="217"/>
      <c r="D16" s="217"/>
      <c r="E16" s="217"/>
      <c r="F16" s="217"/>
      <c r="G16" s="217"/>
      <c r="H16" s="217"/>
      <c r="I16" s="217"/>
      <c r="J16" s="97">
        <v>855.2</v>
      </c>
      <c r="K16" s="97">
        <v>855.2</v>
      </c>
      <c r="L16" s="94"/>
      <c r="M16" s="25"/>
      <c r="N16" s="253" t="s">
        <v>320</v>
      </c>
      <c r="O16" s="253"/>
      <c r="P16" s="253" t="s">
        <v>321</v>
      </c>
      <c r="Q16" s="253"/>
      <c r="R16" s="253" t="s">
        <v>322</v>
      </c>
      <c r="S16" s="253"/>
      <c r="T16" s="1" t="s">
        <v>323</v>
      </c>
      <c r="U16" s="56" t="s">
        <v>245</v>
      </c>
      <c r="V16" s="56"/>
      <c r="W16" s="56"/>
      <c r="X16" s="56"/>
      <c r="Y16" s="56"/>
    </row>
    <row r="17" spans="1:25" ht="30" customHeight="1">
      <c r="A17" s="214" t="s">
        <v>65</v>
      </c>
      <c r="B17" s="215"/>
      <c r="C17" s="215"/>
      <c r="D17" s="215"/>
      <c r="E17" s="215"/>
      <c r="F17" s="215"/>
      <c r="G17" s="215"/>
      <c r="H17" s="215"/>
      <c r="I17" s="215"/>
      <c r="J17" s="96">
        <v>459</v>
      </c>
      <c r="K17" s="96">
        <v>459</v>
      </c>
      <c r="L17" s="93"/>
      <c r="M17" s="24"/>
      <c r="N17" s="254" t="s">
        <v>326</v>
      </c>
      <c r="O17" s="254"/>
      <c r="P17" s="254"/>
      <c r="Q17" s="254"/>
      <c r="R17" s="254"/>
      <c r="S17" s="254"/>
      <c r="U17" s="56" t="s">
        <v>246</v>
      </c>
      <c r="V17" s="56"/>
      <c r="W17" s="56"/>
      <c r="X17" s="56"/>
      <c r="Y17" s="56"/>
    </row>
    <row r="18" spans="1:19" ht="30" customHeight="1">
      <c r="A18" s="214" t="s">
        <v>67</v>
      </c>
      <c r="B18" s="215"/>
      <c r="C18" s="215"/>
      <c r="D18" s="215"/>
      <c r="E18" s="215"/>
      <c r="F18" s="215"/>
      <c r="G18" s="215"/>
      <c r="H18" s="215"/>
      <c r="I18" s="215"/>
      <c r="J18" s="96">
        <v>305</v>
      </c>
      <c r="K18" s="96">
        <v>305</v>
      </c>
      <c r="L18" s="93"/>
      <c r="M18" s="24"/>
      <c r="N18" s="253" t="s">
        <v>324</v>
      </c>
      <c r="O18" s="253"/>
      <c r="P18" s="138"/>
      <c r="Q18" s="138"/>
      <c r="R18" s="138"/>
      <c r="S18" s="138"/>
    </row>
    <row r="19" spans="1:25" ht="30" customHeight="1">
      <c r="A19" s="214" t="s">
        <v>68</v>
      </c>
      <c r="B19" s="215"/>
      <c r="C19" s="215"/>
      <c r="D19" s="215"/>
      <c r="E19" s="215"/>
      <c r="F19" s="215"/>
      <c r="G19" s="215"/>
      <c r="H19" s="215"/>
      <c r="I19" s="215"/>
      <c r="J19" s="96">
        <v>175.2</v>
      </c>
      <c r="K19" s="96">
        <v>175.2</v>
      </c>
      <c r="L19" s="93"/>
      <c r="M19" s="24"/>
      <c r="N19" s="249" t="s">
        <v>325</v>
      </c>
      <c r="O19" s="249"/>
      <c r="P19" s="249"/>
      <c r="Q19" s="249"/>
      <c r="R19" s="249"/>
      <c r="S19" s="249"/>
      <c r="U19" s="140"/>
      <c r="V19" s="140"/>
      <c r="W19" s="140"/>
      <c r="X19" s="140"/>
      <c r="Y19" s="140"/>
    </row>
    <row r="20" spans="1:25" ht="30" customHeight="1">
      <c r="A20" s="214" t="s">
        <v>69</v>
      </c>
      <c r="B20" s="215"/>
      <c r="C20" s="215"/>
      <c r="D20" s="215"/>
      <c r="E20" s="215"/>
      <c r="F20" s="215"/>
      <c r="G20" s="215"/>
      <c r="H20" s="215"/>
      <c r="I20" s="215"/>
      <c r="J20" s="96">
        <v>627.5</v>
      </c>
      <c r="K20" s="96">
        <v>627.5</v>
      </c>
      <c r="L20" s="93"/>
      <c r="M20" s="24"/>
      <c r="N20" s="249" t="s">
        <v>327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</row>
    <row r="21" spans="1:25" ht="30" customHeight="1">
      <c r="A21" s="214" t="s">
        <v>70</v>
      </c>
      <c r="B21" s="215"/>
      <c r="C21" s="215"/>
      <c r="D21" s="215"/>
      <c r="E21" s="215"/>
      <c r="F21" s="215"/>
      <c r="G21" s="215"/>
      <c r="H21" s="215"/>
      <c r="I21" s="215"/>
      <c r="J21" s="96">
        <v>18</v>
      </c>
      <c r="K21" s="96">
        <v>18</v>
      </c>
      <c r="L21" s="93"/>
      <c r="M21" s="24"/>
      <c r="N21" s="249" t="s">
        <v>328</v>
      </c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</row>
    <row r="22" spans="1:18" ht="30" customHeight="1">
      <c r="A22" s="214" t="s">
        <v>198</v>
      </c>
      <c r="B22" s="215"/>
      <c r="C22" s="215"/>
      <c r="D22" s="215"/>
      <c r="E22" s="215"/>
      <c r="F22" s="215"/>
      <c r="G22" s="215"/>
      <c r="H22" s="215"/>
      <c r="I22" s="215"/>
      <c r="J22" s="96">
        <v>2</v>
      </c>
      <c r="K22" s="96">
        <v>2</v>
      </c>
      <c r="L22" s="93"/>
      <c r="M22" s="24"/>
      <c r="N22" s="136"/>
      <c r="O22" s="136"/>
      <c r="P22" s="136"/>
      <c r="Q22" s="136"/>
      <c r="R22" s="136"/>
    </row>
    <row r="23" spans="1:18" ht="30" customHeight="1">
      <c r="A23" s="216" t="s">
        <v>351</v>
      </c>
      <c r="B23" s="217"/>
      <c r="C23" s="217"/>
      <c r="D23" s="217"/>
      <c r="E23" s="217"/>
      <c r="F23" s="217"/>
      <c r="G23" s="217"/>
      <c r="H23" s="217"/>
      <c r="I23" s="217"/>
      <c r="J23" s="99">
        <v>18</v>
      </c>
      <c r="K23" s="99">
        <v>18</v>
      </c>
      <c r="L23" s="95"/>
      <c r="M23" s="26"/>
      <c r="N23" s="136"/>
      <c r="O23" s="136"/>
      <c r="P23" s="136"/>
      <c r="Q23" s="136"/>
      <c r="R23" s="136"/>
    </row>
    <row r="24" spans="1:39" ht="30" customHeight="1">
      <c r="A24" s="216" t="s">
        <v>352</v>
      </c>
      <c r="B24" s="217"/>
      <c r="C24" s="217"/>
      <c r="D24" s="217"/>
      <c r="E24" s="217"/>
      <c r="F24" s="217"/>
      <c r="G24" s="217"/>
      <c r="H24" s="217"/>
      <c r="I24" s="217"/>
      <c r="J24" s="99">
        <v>304</v>
      </c>
      <c r="K24" s="99">
        <v>304</v>
      </c>
      <c r="L24" s="95"/>
      <c r="M24" s="26"/>
      <c r="N24" s="136"/>
      <c r="O24" s="136"/>
      <c r="P24" s="136"/>
      <c r="Q24" s="136"/>
      <c r="R24" s="136"/>
      <c r="U24" s="243" t="s">
        <v>222</v>
      </c>
      <c r="V24" s="244"/>
      <c r="W24" s="244"/>
      <c r="X24" s="244"/>
      <c r="Y24" s="245"/>
      <c r="Z24" s="102"/>
      <c r="AC24" s="29"/>
      <c r="AD24" s="129"/>
      <c r="AE24" s="130"/>
      <c r="AF24" s="130"/>
      <c r="AG24" s="130"/>
      <c r="AH24" s="130"/>
      <c r="AI24" s="130"/>
      <c r="AJ24" s="130"/>
      <c r="AK24" s="130"/>
      <c r="AL24" s="130"/>
      <c r="AM24" s="130"/>
    </row>
    <row r="25" spans="14:39" ht="30" customHeight="1">
      <c r="N25" s="136"/>
      <c r="O25" s="136"/>
      <c r="P25" s="136"/>
      <c r="Q25" s="136"/>
      <c r="R25" s="136"/>
      <c r="U25" s="63"/>
      <c r="V25" s="62" t="s">
        <v>115</v>
      </c>
      <c r="W25" s="62" t="s">
        <v>116</v>
      </c>
      <c r="X25" s="62" t="s">
        <v>122</v>
      </c>
      <c r="Y25" s="62" t="s">
        <v>208</v>
      </c>
      <c r="Z25" s="103"/>
      <c r="AC25" s="121"/>
      <c r="AD25" s="117"/>
      <c r="AE25" s="117"/>
      <c r="AF25" s="117"/>
      <c r="AG25" s="117"/>
      <c r="AH25" s="118"/>
      <c r="AI25" s="119"/>
      <c r="AJ25" s="119"/>
      <c r="AK25" s="119"/>
      <c r="AL25" s="120"/>
      <c r="AM25" s="120"/>
    </row>
    <row r="26" spans="1:40" ht="24" customHeight="1">
      <c r="A26" s="248" t="s">
        <v>346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U26" s="56" t="s">
        <v>61</v>
      </c>
      <c r="V26" s="27">
        <v>200</v>
      </c>
      <c r="W26" s="65">
        <v>2500</v>
      </c>
      <c r="X26" s="57">
        <v>2400</v>
      </c>
      <c r="Y26" s="57">
        <v>500</v>
      </c>
      <c r="Z26" s="104"/>
      <c r="AC26" s="116"/>
      <c r="AD26" s="117"/>
      <c r="AE26" s="117"/>
      <c r="AF26" s="117"/>
      <c r="AG26" s="117"/>
      <c r="AH26" s="118"/>
      <c r="AI26" s="119"/>
      <c r="AJ26" s="119"/>
      <c r="AK26" s="119"/>
      <c r="AL26" s="120"/>
      <c r="AM26" s="120"/>
      <c r="AN26" s="29"/>
    </row>
    <row r="27" spans="1:26" ht="25.5" customHeight="1">
      <c r="A27" s="211" t="s">
        <v>356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U27" s="56" t="s">
        <v>200</v>
      </c>
      <c r="V27" s="27"/>
      <c r="W27" s="65"/>
      <c r="X27" s="57">
        <v>2500</v>
      </c>
      <c r="Y27" s="57"/>
      <c r="Z27" s="104"/>
    </row>
    <row r="28" spans="1:26" ht="18.7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92"/>
      <c r="L28" s="92"/>
      <c r="M28" s="92"/>
      <c r="N28" s="92"/>
      <c r="O28" s="92"/>
      <c r="P28" s="92"/>
      <c r="U28" s="56" t="s">
        <v>201</v>
      </c>
      <c r="V28" s="27"/>
      <c r="W28" s="65"/>
      <c r="X28" s="57">
        <v>2600</v>
      </c>
      <c r="Y28" s="57"/>
      <c r="Z28" s="104"/>
    </row>
    <row r="29" spans="1:26" ht="23.25">
      <c r="A29" s="248" t="s">
        <v>357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U29" s="56" t="s">
        <v>238</v>
      </c>
      <c r="V29" s="27"/>
      <c r="W29" s="57"/>
      <c r="X29" s="57">
        <v>2700</v>
      </c>
      <c r="Y29" s="57"/>
      <c r="Z29" s="29"/>
    </row>
    <row r="30" spans="1:26" ht="18.75">
      <c r="A30" s="135" t="s">
        <v>358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U30" s="56" t="s">
        <v>239</v>
      </c>
      <c r="V30" s="56"/>
      <c r="W30" s="56"/>
      <c r="X30" s="56"/>
      <c r="Y30" s="56"/>
      <c r="Z30" s="29"/>
    </row>
    <row r="31" spans="1:26" ht="18.75">
      <c r="A31" s="135" t="s">
        <v>359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U31" s="56" t="s">
        <v>240</v>
      </c>
      <c r="V31" s="56"/>
      <c r="W31" s="56"/>
      <c r="X31" s="56"/>
      <c r="Y31" s="56"/>
      <c r="Z31" s="29"/>
    </row>
    <row r="32" spans="1:26" ht="18.75">
      <c r="A32" s="135" t="s">
        <v>360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U32" s="56" t="s">
        <v>241</v>
      </c>
      <c r="V32" s="56"/>
      <c r="W32" s="56"/>
      <c r="X32" s="56"/>
      <c r="Y32" s="56"/>
      <c r="Z32" s="29"/>
    </row>
    <row r="33" spans="1:26" ht="18.75">
      <c r="A33" s="210" t="s">
        <v>361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U33" s="56" t="s">
        <v>242</v>
      </c>
      <c r="V33" s="56"/>
      <c r="W33" s="56"/>
      <c r="X33" s="56"/>
      <c r="Y33" s="56"/>
      <c r="Z33" s="29"/>
    </row>
    <row r="34" spans="1:26" ht="18.75">
      <c r="A34" s="210" t="s">
        <v>362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92"/>
      <c r="O34" s="92"/>
      <c r="P34" s="92"/>
      <c r="U34" s="56" t="s">
        <v>243</v>
      </c>
      <c r="V34" s="56"/>
      <c r="W34" s="56"/>
      <c r="X34" s="56"/>
      <c r="Y34" s="56"/>
      <c r="Z34" s="29"/>
    </row>
    <row r="35" spans="21:26" ht="15.75">
      <c r="U35" s="56" t="s">
        <v>244</v>
      </c>
      <c r="V35" s="56"/>
      <c r="W35" s="56"/>
      <c r="X35" s="56"/>
      <c r="Y35" s="56"/>
      <c r="Z35" s="29"/>
    </row>
    <row r="36" spans="21:26" ht="15.75">
      <c r="U36" s="56" t="s">
        <v>245</v>
      </c>
      <c r="V36" s="56"/>
      <c r="W36" s="56"/>
      <c r="X36" s="56"/>
      <c r="Y36" s="56"/>
      <c r="Z36" s="29"/>
    </row>
    <row r="37" spans="21:26" ht="15.75">
      <c r="U37" s="56" t="s">
        <v>246</v>
      </c>
      <c r="V37" s="56"/>
      <c r="W37" s="56"/>
      <c r="X37" s="56"/>
      <c r="Y37" s="56"/>
      <c r="Z37" s="29"/>
    </row>
  </sheetData>
  <sheetProtection/>
  <mergeCells count="65">
    <mergeCell ref="N21:Y21"/>
    <mergeCell ref="A4:A7"/>
    <mergeCell ref="N16:O16"/>
    <mergeCell ref="N18:O18"/>
    <mergeCell ref="P16:Q16"/>
    <mergeCell ref="R16:S16"/>
    <mergeCell ref="N17:S17"/>
    <mergeCell ref="N13:S15"/>
    <mergeCell ref="J10:K10"/>
    <mergeCell ref="A10:A11"/>
    <mergeCell ref="U4:Y4"/>
    <mergeCell ref="U24:Y24"/>
    <mergeCell ref="A33:P33"/>
    <mergeCell ref="A26:P26"/>
    <mergeCell ref="A29:P29"/>
    <mergeCell ref="N19:S19"/>
    <mergeCell ref="N20:Y20"/>
    <mergeCell ref="J11:K11"/>
    <mergeCell ref="B10:C10"/>
    <mergeCell ref="R10:S10"/>
    <mergeCell ref="L10:M10"/>
    <mergeCell ref="A9:S9"/>
    <mergeCell ref="H10:I10"/>
    <mergeCell ref="N11:O11"/>
    <mergeCell ref="F10:G10"/>
    <mergeCell ref="N10:O10"/>
    <mergeCell ref="H11:I11"/>
    <mergeCell ref="A13:K13"/>
    <mergeCell ref="A14:I14"/>
    <mergeCell ref="A1:S1"/>
    <mergeCell ref="L11:M11"/>
    <mergeCell ref="P4:S4"/>
    <mergeCell ref="N4:O6"/>
    <mergeCell ref="P5:Q6"/>
    <mergeCell ref="R3:S3"/>
    <mergeCell ref="P10:Q10"/>
    <mergeCell ref="P11:Q11"/>
    <mergeCell ref="F3:L3"/>
    <mergeCell ref="B4:C6"/>
    <mergeCell ref="D4:E6"/>
    <mergeCell ref="F4:G6"/>
    <mergeCell ref="H4:I6"/>
    <mergeCell ref="J4:K6"/>
    <mergeCell ref="L4:M6"/>
    <mergeCell ref="R5:S6"/>
    <mergeCell ref="A15:I15"/>
    <mergeCell ref="A16:I16"/>
    <mergeCell ref="A17:I17"/>
    <mergeCell ref="A18:I18"/>
    <mergeCell ref="R11:S11"/>
    <mergeCell ref="F11:G11"/>
    <mergeCell ref="D11:E11"/>
    <mergeCell ref="B11:C11"/>
    <mergeCell ref="D10:E10"/>
    <mergeCell ref="A28:J28"/>
    <mergeCell ref="A27:P27"/>
    <mergeCell ref="A34:M34"/>
    <mergeCell ref="A12:S12"/>
    <mergeCell ref="A20:I20"/>
    <mergeCell ref="A21:I21"/>
    <mergeCell ref="A22:I22"/>
    <mergeCell ref="A23:I23"/>
    <mergeCell ref="A24:I24"/>
    <mergeCell ref="A19:I19"/>
  </mergeCells>
  <printOptions/>
  <pageMargins left="0.5905511811023623" right="0.5905511811023623" top="1.1811023622047245" bottom="0.5511811023622047" header="0.31496062992125984" footer="0.31496062992125984"/>
  <pageSetup fitToHeight="0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24"/>
  <sheetViews>
    <sheetView tabSelected="1" view="pageBreakPreview" zoomScale="90" zoomScaleSheetLayoutView="90" zoomScalePageLayoutView="0" workbookViewId="0" topLeftCell="A7">
      <selection activeCell="E15" sqref="E15"/>
    </sheetView>
  </sheetViews>
  <sheetFormatPr defaultColWidth="9.140625" defaultRowHeight="15"/>
  <cols>
    <col min="1" max="1" width="34.140625" style="2" customWidth="1"/>
    <col min="2" max="4" width="9.140625" style="2" customWidth="1"/>
    <col min="5" max="5" width="9.8515625" style="2" customWidth="1"/>
    <col min="6" max="12" width="9.140625" style="2" customWidth="1"/>
    <col min="13" max="13" width="11.140625" style="2" customWidth="1"/>
    <col min="14" max="16384" width="9.140625" style="2" customWidth="1"/>
  </cols>
  <sheetData>
    <row r="1" spans="1:13" ht="18.75">
      <c r="A1" s="203" t="s">
        <v>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ht="17.25">
      <c r="M3" s="6" t="s">
        <v>73</v>
      </c>
    </row>
    <row r="4" spans="1:13" ht="66" customHeight="1">
      <c r="A4" s="259" t="s">
        <v>74</v>
      </c>
      <c r="B4" s="261" t="s">
        <v>375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3"/>
    </row>
    <row r="5" spans="1:13" ht="17.25">
      <c r="A5" s="260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  <c r="M5" s="19" t="s">
        <v>75</v>
      </c>
    </row>
    <row r="6" spans="1:13" ht="32.25" customHeight="1">
      <c r="A6" s="10" t="s">
        <v>76</v>
      </c>
      <c r="B6" s="60">
        <f>B7+B16</f>
        <v>3.8</v>
      </c>
      <c r="C6" s="60">
        <f>C7+C16</f>
        <v>34.4</v>
      </c>
      <c r="D6" s="60">
        <f>D7+D16</f>
        <v>279.9</v>
      </c>
      <c r="E6" s="60">
        <f>E7+E16</f>
        <v>290</v>
      </c>
      <c r="F6" s="60">
        <f>F7+F16</f>
        <v>250</v>
      </c>
      <c r="G6" s="60">
        <f aca="true" t="shared" si="0" ref="G6:L6">G7+G16</f>
        <v>785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0">
        <f>SUM(B6:L6)</f>
        <v>1643.1</v>
      </c>
    </row>
    <row r="7" spans="1:13" ht="34.5">
      <c r="A7" s="10" t="s">
        <v>77</v>
      </c>
      <c r="B7" s="60">
        <f>SUM(B8:B15)</f>
        <v>3.8</v>
      </c>
      <c r="C7" s="60">
        <f>SUM(C8:C15)</f>
        <v>34.4</v>
      </c>
      <c r="D7" s="60">
        <f>SUM(D8:D15)</f>
        <v>168</v>
      </c>
      <c r="E7" s="60">
        <f>SUM(E8:E15)</f>
        <v>290</v>
      </c>
      <c r="F7" s="60">
        <f>SUM(F8:F15)</f>
        <v>250</v>
      </c>
      <c r="G7" s="60">
        <f aca="true" t="shared" si="1" ref="G7:L7">SUM(G8:G15)</f>
        <v>785</v>
      </c>
      <c r="H7" s="60">
        <f t="shared" si="1"/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aca="true" t="shared" si="2" ref="M7:M19">SUM(B7:L7)</f>
        <v>1531.2</v>
      </c>
    </row>
    <row r="8" spans="1:13" ht="17.25" customHeight="1">
      <c r="A8" s="12" t="s">
        <v>78</v>
      </c>
      <c r="B8" s="61">
        <v>3.8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0">
        <f t="shared" si="2"/>
        <v>3.8</v>
      </c>
    </row>
    <row r="9" spans="1:13" ht="34.5">
      <c r="A9" s="12" t="s">
        <v>79</v>
      </c>
      <c r="B9" s="61"/>
      <c r="C9" s="61">
        <v>30</v>
      </c>
      <c r="D9" s="61"/>
      <c r="E9" s="61"/>
      <c r="F9" s="61"/>
      <c r="G9" s="61"/>
      <c r="H9" s="61"/>
      <c r="I9" s="61"/>
      <c r="J9" s="61"/>
      <c r="K9" s="61"/>
      <c r="L9" s="61"/>
      <c r="M9" s="60">
        <f t="shared" si="2"/>
        <v>30</v>
      </c>
    </row>
    <row r="10" spans="1:13" ht="17.25">
      <c r="A10" s="12" t="s">
        <v>233</v>
      </c>
      <c r="B10" s="61"/>
      <c r="C10" s="61" t="s">
        <v>231</v>
      </c>
      <c r="D10" s="61"/>
      <c r="E10" s="61">
        <v>40</v>
      </c>
      <c r="F10" s="61"/>
      <c r="G10" s="61"/>
      <c r="H10" s="61"/>
      <c r="I10" s="61"/>
      <c r="J10" s="61"/>
      <c r="K10" s="61"/>
      <c r="L10" s="61"/>
      <c r="M10" s="60">
        <f t="shared" si="2"/>
        <v>40</v>
      </c>
    </row>
    <row r="11" spans="1:13" ht="51.75">
      <c r="A11" s="12" t="s">
        <v>80</v>
      </c>
      <c r="B11" s="61"/>
      <c r="C11" s="61"/>
      <c r="D11" s="61">
        <v>150</v>
      </c>
      <c r="E11" s="61" t="s">
        <v>231</v>
      </c>
      <c r="F11" s="61"/>
      <c r="G11" s="61"/>
      <c r="H11" s="61"/>
      <c r="I11" s="61"/>
      <c r="J11" s="61"/>
      <c r="K11" s="61"/>
      <c r="L11" s="61"/>
      <c r="M11" s="60">
        <f t="shared" si="2"/>
        <v>150</v>
      </c>
    </row>
    <row r="12" spans="1:13" ht="34.5">
      <c r="A12" s="12" t="s">
        <v>81</v>
      </c>
      <c r="B12" s="61"/>
      <c r="C12" s="61" t="s">
        <v>231</v>
      </c>
      <c r="D12" s="61"/>
      <c r="E12" s="61"/>
      <c r="F12" s="61"/>
      <c r="G12" s="61">
        <v>785</v>
      </c>
      <c r="H12" s="61"/>
      <c r="I12" s="61"/>
      <c r="J12" s="61"/>
      <c r="K12" s="61"/>
      <c r="L12" s="61"/>
      <c r="M12" s="60">
        <f t="shared" si="2"/>
        <v>785</v>
      </c>
    </row>
    <row r="13" spans="1:13" ht="17.25">
      <c r="A13" s="12" t="s">
        <v>82</v>
      </c>
      <c r="B13" s="61"/>
      <c r="C13" s="61"/>
      <c r="D13" s="61"/>
      <c r="E13" s="61">
        <v>250</v>
      </c>
      <c r="F13" s="61">
        <v>250</v>
      </c>
      <c r="G13" s="61"/>
      <c r="H13" s="61"/>
      <c r="I13" s="61"/>
      <c r="J13" s="61"/>
      <c r="K13" s="61"/>
      <c r="L13" s="61"/>
      <c r="M13" s="60">
        <f t="shared" si="2"/>
        <v>500</v>
      </c>
    </row>
    <row r="14" spans="1:13" ht="34.5">
      <c r="A14" s="12" t="s">
        <v>83</v>
      </c>
      <c r="B14" s="61" t="s">
        <v>231</v>
      </c>
      <c r="C14" s="61"/>
      <c r="D14" s="61">
        <v>18</v>
      </c>
      <c r="E14" s="61"/>
      <c r="F14" s="61"/>
      <c r="G14" s="61"/>
      <c r="H14" s="61"/>
      <c r="I14" s="61"/>
      <c r="J14" s="61"/>
      <c r="K14" s="61"/>
      <c r="L14" s="61"/>
      <c r="M14" s="60">
        <f t="shared" si="2"/>
        <v>18</v>
      </c>
    </row>
    <row r="15" spans="1:13" ht="34.5">
      <c r="A15" s="12" t="s">
        <v>84</v>
      </c>
      <c r="B15" s="61"/>
      <c r="C15" s="61">
        <v>4.4</v>
      </c>
      <c r="D15" s="61"/>
      <c r="E15" s="61"/>
      <c r="F15" s="61"/>
      <c r="G15" s="61"/>
      <c r="H15" s="61"/>
      <c r="I15" s="61"/>
      <c r="J15" s="61"/>
      <c r="K15" s="61"/>
      <c r="L15" s="61"/>
      <c r="M15" s="60">
        <f t="shared" si="2"/>
        <v>4.4</v>
      </c>
    </row>
    <row r="16" spans="1:13" ht="34.5">
      <c r="A16" s="10" t="s">
        <v>85</v>
      </c>
      <c r="B16" s="60">
        <f aca="true" t="shared" si="3" ref="B16:L16">SUM(B17:B19)</f>
        <v>0</v>
      </c>
      <c r="C16" s="60">
        <f t="shared" si="3"/>
        <v>0</v>
      </c>
      <c r="D16" s="60">
        <f t="shared" si="3"/>
        <v>111.9</v>
      </c>
      <c r="E16" s="60">
        <f t="shared" si="3"/>
        <v>0</v>
      </c>
      <c r="F16" s="60">
        <f t="shared" si="3"/>
        <v>0</v>
      </c>
      <c r="G16" s="60">
        <f t="shared" si="3"/>
        <v>0</v>
      </c>
      <c r="H16" s="60">
        <f t="shared" si="3"/>
        <v>0</v>
      </c>
      <c r="I16" s="60">
        <f t="shared" si="3"/>
        <v>0</v>
      </c>
      <c r="J16" s="60">
        <f t="shared" si="3"/>
        <v>0</v>
      </c>
      <c r="K16" s="60">
        <f t="shared" si="3"/>
        <v>0</v>
      </c>
      <c r="L16" s="60">
        <f t="shared" si="3"/>
        <v>0</v>
      </c>
      <c r="M16" s="60">
        <f t="shared" si="2"/>
        <v>111.9</v>
      </c>
    </row>
    <row r="17" spans="1:15" ht="65.25" customHeight="1">
      <c r="A17" s="12" t="s">
        <v>86</v>
      </c>
      <c r="B17" s="61"/>
      <c r="C17" s="61">
        <v>0</v>
      </c>
      <c r="D17" s="61"/>
      <c r="E17" s="61"/>
      <c r="F17" s="61"/>
      <c r="G17" s="61"/>
      <c r="H17" s="61"/>
      <c r="I17" s="61"/>
      <c r="J17" s="61"/>
      <c r="K17" s="61"/>
      <c r="L17" s="61"/>
      <c r="M17" s="60">
        <f t="shared" si="2"/>
        <v>0</v>
      </c>
      <c r="O17" s="69"/>
    </row>
    <row r="18" spans="1:13" ht="34.5">
      <c r="A18" s="12" t="s">
        <v>87</v>
      </c>
      <c r="B18" s="61"/>
      <c r="C18" s="61"/>
      <c r="D18" s="61">
        <v>12</v>
      </c>
      <c r="E18" s="61"/>
      <c r="F18" s="61"/>
      <c r="G18" s="61"/>
      <c r="H18" s="61"/>
      <c r="I18" s="61"/>
      <c r="J18" s="61"/>
      <c r="K18" s="61"/>
      <c r="L18" s="61"/>
      <c r="M18" s="60">
        <f t="shared" si="2"/>
        <v>12</v>
      </c>
    </row>
    <row r="19" spans="1:13" ht="69">
      <c r="A19" s="12" t="s">
        <v>88</v>
      </c>
      <c r="B19" s="61" t="s">
        <v>231</v>
      </c>
      <c r="C19" s="61"/>
      <c r="D19" s="61">
        <v>99.9</v>
      </c>
      <c r="E19" s="61"/>
      <c r="F19" s="61"/>
      <c r="G19" s="61"/>
      <c r="H19" s="61"/>
      <c r="I19" s="61"/>
      <c r="J19" s="61"/>
      <c r="K19" s="61"/>
      <c r="L19" s="61"/>
      <c r="M19" s="60">
        <f t="shared" si="2"/>
        <v>99.9</v>
      </c>
    </row>
    <row r="20" spans="1:13" ht="17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33.75" customHeight="1">
      <c r="A21" s="264" t="s">
        <v>374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ht="39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27.75" customHeight="1">
      <c r="A23" s="257" t="s">
        <v>334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17.25">
      <c r="A24" s="258" t="s">
        <v>333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</sheetData>
  <sheetProtection/>
  <mergeCells count="8">
    <mergeCell ref="A23:M23"/>
    <mergeCell ref="A24:M24"/>
    <mergeCell ref="A1:M1"/>
    <mergeCell ref="A4:A5"/>
    <mergeCell ref="B4:M4"/>
    <mergeCell ref="A2:M2"/>
    <mergeCell ref="A21:M21"/>
    <mergeCell ref="A22:M22"/>
  </mergeCells>
  <printOptions/>
  <pageMargins left="1.1811023622047245" right="0.5118110236220472" top="0.5511811023622047" bottom="0.5511811023622047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40"/>
  <sheetViews>
    <sheetView view="pageBreakPreview" zoomScale="90" zoomScaleSheetLayoutView="90" zoomScalePageLayoutView="0" workbookViewId="0" topLeftCell="A1">
      <selection activeCell="G19" sqref="G19"/>
    </sheetView>
  </sheetViews>
  <sheetFormatPr defaultColWidth="9.140625" defaultRowHeight="15"/>
  <cols>
    <col min="1" max="1" width="18.28125" style="1" customWidth="1"/>
    <col min="2" max="2" width="15.00390625" style="1" customWidth="1"/>
    <col min="3" max="3" width="9.28125" style="1" customWidth="1"/>
    <col min="4" max="14" width="9.140625" style="1" customWidth="1"/>
    <col min="15" max="15" width="10.28125" style="1" customWidth="1"/>
    <col min="16" max="16384" width="9.140625" style="1" customWidth="1"/>
  </cols>
  <sheetData>
    <row r="1" spans="1:15" ht="18.75">
      <c r="A1" s="203" t="s">
        <v>187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1.75" customHeight="1">
      <c r="A2" s="203" t="s">
        <v>188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ht="15.75">
      <c r="O4" s="100" t="s">
        <v>89</v>
      </c>
    </row>
    <row r="5" spans="1:15" ht="36" customHeight="1">
      <c r="A5" s="256" t="s">
        <v>74</v>
      </c>
      <c r="B5" s="268" t="s">
        <v>90</v>
      </c>
      <c r="C5" s="256" t="s">
        <v>248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27.75" customHeight="1">
      <c r="A6" s="256"/>
      <c r="B6" s="268"/>
      <c r="C6" s="98" t="s">
        <v>91</v>
      </c>
      <c r="D6" s="21">
        <v>2010</v>
      </c>
      <c r="E6" s="21">
        <v>2011</v>
      </c>
      <c r="F6" s="21">
        <v>2012</v>
      </c>
      <c r="G6" s="21">
        <v>2013</v>
      </c>
      <c r="H6" s="21">
        <v>2014</v>
      </c>
      <c r="I6" s="21">
        <v>2015</v>
      </c>
      <c r="J6" s="21">
        <v>2016</v>
      </c>
      <c r="K6" s="21">
        <v>2017</v>
      </c>
      <c r="L6" s="21">
        <v>2018</v>
      </c>
      <c r="M6" s="21">
        <v>2019</v>
      </c>
      <c r="N6" s="21">
        <v>2020</v>
      </c>
      <c r="O6" s="21" t="s">
        <v>75</v>
      </c>
    </row>
    <row r="7" spans="1:15" ht="30" customHeight="1">
      <c r="A7" s="267"/>
      <c r="B7" s="268" t="s">
        <v>92</v>
      </c>
      <c r="C7" s="98" t="s">
        <v>93</v>
      </c>
      <c r="D7" s="66">
        <v>5</v>
      </c>
      <c r="E7" s="66">
        <v>6</v>
      </c>
      <c r="F7" s="66">
        <v>7</v>
      </c>
      <c r="G7" s="66">
        <v>8</v>
      </c>
      <c r="H7" s="66">
        <v>9</v>
      </c>
      <c r="I7" s="66">
        <v>10</v>
      </c>
      <c r="J7" s="66">
        <v>11</v>
      </c>
      <c r="K7" s="66">
        <v>12</v>
      </c>
      <c r="L7" s="66">
        <v>13</v>
      </c>
      <c r="M7" s="66">
        <v>14</v>
      </c>
      <c r="N7" s="66">
        <v>15</v>
      </c>
      <c r="O7" s="55">
        <f>SUM(D7:N7)</f>
        <v>110</v>
      </c>
    </row>
    <row r="8" spans="1:15" ht="30" customHeight="1">
      <c r="A8" s="267"/>
      <c r="B8" s="268"/>
      <c r="C8" s="98" t="s">
        <v>94</v>
      </c>
      <c r="D8" s="40">
        <f>D7*'Табл.3'!W7/1000</f>
        <v>6.25</v>
      </c>
      <c r="E8" s="40">
        <f>E7*'Табл.3'!W8/1000</f>
        <v>8.1</v>
      </c>
      <c r="F8" s="40">
        <f>F7*'Табл.3'!W9/1000</f>
        <v>10.15</v>
      </c>
      <c r="G8" s="40">
        <f>G7*'Табл.3'!W9*('Табл.7'!F34)/1000</f>
        <v>12.876000000000001</v>
      </c>
      <c r="H8" s="40">
        <f>H7*'Табл.3'!W9*('Табл.7'!G34)/1000</f>
        <v>16.006477500000003</v>
      </c>
      <c r="I8" s="40">
        <f>I7*'Табл.3'!W9*('Табл.7'!H34)/1000</f>
        <v>19.563472500000007</v>
      </c>
      <c r="J8" s="40">
        <f>J7*'Табл.3'!W9*('Табл.7'!I34)/1000</f>
        <v>23.564202626250008</v>
      </c>
      <c r="K8" s="40">
        <f>K7*'Табл.3'!W9*('Табл.7'!J34)/1000</f>
        <v>28.019979122850014</v>
      </c>
      <c r="L8" s="40">
        <f>L7*'Табл.3'!W9*('Табл.7'!K34)/1000</f>
        <v>32.93515046064995</v>
      </c>
      <c r="M8" s="40">
        <f>M7*'Табл.3'!W9*('Табл.7'!L34)/1000</f>
        <v>38.30611345884825</v>
      </c>
      <c r="N8" s="40">
        <f>N7*'Табл.3'!W9*('Табл.7'!M34)/1000</f>
        <v>44.120434251709156</v>
      </c>
      <c r="O8" s="55">
        <f aca="true" t="shared" si="0" ref="O8:O36">SUM(D8:N8)</f>
        <v>239.8918299203074</v>
      </c>
    </row>
    <row r="9" spans="1:15" ht="30" customHeight="1">
      <c r="A9" s="267"/>
      <c r="B9" s="268" t="s">
        <v>92</v>
      </c>
      <c r="C9" s="98" t="s">
        <v>95</v>
      </c>
      <c r="D9" s="66">
        <v>0</v>
      </c>
      <c r="E9" s="66">
        <v>0</v>
      </c>
      <c r="F9" s="66">
        <v>0</v>
      </c>
      <c r="G9" s="66">
        <v>0</v>
      </c>
      <c r="H9" s="80">
        <v>0</v>
      </c>
      <c r="I9" s="81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55">
        <f t="shared" si="0"/>
        <v>0</v>
      </c>
    </row>
    <row r="10" spans="1:15" ht="30" customHeight="1">
      <c r="A10" s="267"/>
      <c r="B10" s="268"/>
      <c r="C10" s="98" t="s">
        <v>94</v>
      </c>
      <c r="D10" s="40">
        <f>D9*'Табл.3'!W7/1000</f>
        <v>0</v>
      </c>
      <c r="E10" s="40">
        <f>E9*'Табл.3'!W8/1000</f>
        <v>0</v>
      </c>
      <c r="F10" s="74">
        <f>F9*'Табл.3'!W9/1000</f>
        <v>0</v>
      </c>
      <c r="G10" s="40">
        <f>G9*'Табл.3'!W9*('Табл.7'!F34)/1000</f>
        <v>0</v>
      </c>
      <c r="H10" s="40">
        <f>H9*'Табл.3'!W9*('Табл.7'!G34)/1000</f>
        <v>0</v>
      </c>
      <c r="I10" s="40">
        <f>I9*'Табл.3'!W9*('Табл.7'!H34)/1000</f>
        <v>0</v>
      </c>
      <c r="J10" s="40">
        <f>J9*'Табл.3'!W9*('Табл.7'!I34)/1000</f>
        <v>0</v>
      </c>
      <c r="K10" s="40">
        <f>K9*'Табл.3'!W9*('Табл.7'!J34)/1000</f>
        <v>0</v>
      </c>
      <c r="L10" s="40">
        <f>L9*'Табл.3'!W9*('Табл.7'!K34)/1000</f>
        <v>0</v>
      </c>
      <c r="M10" s="40">
        <f>M9*'Табл.3'!W9*('Табл.7'!L34)/1000</f>
        <v>0</v>
      </c>
      <c r="N10" s="40">
        <f>N9*'Табл.3'!W9*('Табл.7'!M34)/1000</f>
        <v>0</v>
      </c>
      <c r="O10" s="55">
        <f t="shared" si="0"/>
        <v>0</v>
      </c>
    </row>
    <row r="11" spans="1:15" ht="41.25" customHeight="1">
      <c r="A11" s="267"/>
      <c r="B11" s="268" t="s">
        <v>92</v>
      </c>
      <c r="C11" s="98" t="s">
        <v>95</v>
      </c>
      <c r="D11" s="66">
        <v>5</v>
      </c>
      <c r="E11" s="66">
        <v>5</v>
      </c>
      <c r="F11" s="66">
        <v>5</v>
      </c>
      <c r="G11" s="66">
        <v>5</v>
      </c>
      <c r="H11" s="66">
        <v>5</v>
      </c>
      <c r="I11" s="66">
        <v>5</v>
      </c>
      <c r="J11" s="66">
        <v>5</v>
      </c>
      <c r="K11" s="66">
        <v>5</v>
      </c>
      <c r="L11" s="66">
        <v>5</v>
      </c>
      <c r="M11" s="66">
        <v>5</v>
      </c>
      <c r="N11" s="66">
        <v>5</v>
      </c>
      <c r="O11" s="55">
        <f t="shared" si="0"/>
        <v>55</v>
      </c>
    </row>
    <row r="12" spans="1:15" ht="41.25" customHeight="1">
      <c r="A12" s="267"/>
      <c r="B12" s="268"/>
      <c r="C12" s="98" t="s">
        <v>94</v>
      </c>
      <c r="D12" s="40">
        <f>D11*'Табл.3'!W7/1000</f>
        <v>6.25</v>
      </c>
      <c r="E12" s="40">
        <f>E11*'Табл.3'!W8/1000</f>
        <v>6.75</v>
      </c>
      <c r="F12" s="40">
        <f>F11*'Табл.3'!W9/1000</f>
        <v>7.25</v>
      </c>
      <c r="G12" s="40">
        <f>G11*'Табл.3'!W9*('Табл.7'!F34)/1000</f>
        <v>8.047500000000001</v>
      </c>
      <c r="H12" s="40">
        <f>H11*'Табл.3'!W9*('Табл.7'!G3)/1000</f>
        <v>0</v>
      </c>
      <c r="I12" s="40">
        <f>I11*'Табл.3'!W9*('Табл.7'!H34)/1000</f>
        <v>9.781736250000003</v>
      </c>
      <c r="J12" s="40">
        <f>J11*'Табл.3'!W9*('Табл.7'!I34)/1000</f>
        <v>10.711001193750004</v>
      </c>
      <c r="K12" s="40">
        <f>K11*'Табл.3'!W9*('Табл.7'!J34)/1000</f>
        <v>11.674991301187505</v>
      </c>
      <c r="L12" s="40">
        <f>L11*'Табл.3'!W9*('Табл.7'!K34)/1000</f>
        <v>12.667365561788444</v>
      </c>
      <c r="M12" s="40">
        <f>M11*'Табл.3'!W9*('Табл.7'!L34)/1000</f>
        <v>13.680754806731521</v>
      </c>
      <c r="N12" s="40">
        <f>N11*'Табл.3'!W9*('Табл.7'!M34)/1000</f>
        <v>14.706811417236386</v>
      </c>
      <c r="O12" s="55">
        <f t="shared" si="0"/>
        <v>101.52016053069384</v>
      </c>
    </row>
    <row r="13" spans="1:15" ht="30" customHeight="1">
      <c r="A13" s="267"/>
      <c r="B13" s="268" t="s">
        <v>92</v>
      </c>
      <c r="C13" s="98" t="s">
        <v>95</v>
      </c>
      <c r="D13" s="66"/>
      <c r="E13" s="66"/>
      <c r="F13" s="66"/>
      <c r="G13" s="66"/>
      <c r="H13" s="66">
        <v>1200</v>
      </c>
      <c r="I13" s="66"/>
      <c r="J13" s="66"/>
      <c r="K13" s="66"/>
      <c r="L13" s="66"/>
      <c r="M13" s="66"/>
      <c r="N13" s="66"/>
      <c r="O13" s="55">
        <f t="shared" si="0"/>
        <v>1200</v>
      </c>
    </row>
    <row r="14" spans="1:15" ht="30" customHeight="1">
      <c r="A14" s="267"/>
      <c r="B14" s="268"/>
      <c r="C14" s="98" t="s">
        <v>94</v>
      </c>
      <c r="D14" s="40">
        <f>D13*'Табл.3'!W7/1000</f>
        <v>0</v>
      </c>
      <c r="E14" s="40">
        <f>E13*'Табл.3'!W8/1000</f>
        <v>0</v>
      </c>
      <c r="F14" s="40">
        <f>F13*'Табл.3'!W9/1000</f>
        <v>0</v>
      </c>
      <c r="G14" s="40">
        <f>G13*'Табл.3'!W9*('Табл.7'!F34)/1000</f>
        <v>0</v>
      </c>
      <c r="H14" s="40">
        <f>H13*'Табл.3'!W9*('Табл.7'!G34)/1000</f>
        <v>2134.1970000000006</v>
      </c>
      <c r="I14" s="40">
        <f>I13*'Табл.3'!W9*('Табл.7'!H34)/1000</f>
        <v>0</v>
      </c>
      <c r="J14" s="40">
        <f>J13*'Табл.3'!W9*('Табл.7'!I34)/1000</f>
        <v>0</v>
      </c>
      <c r="K14" s="40">
        <f>K13*'Табл.3'!W9*('Табл.7'!J34)/1000</f>
        <v>0</v>
      </c>
      <c r="L14" s="40">
        <f>L13*'Табл.3'!W9*('Табл.7'!K34)/1000</f>
        <v>0</v>
      </c>
      <c r="M14" s="40">
        <f>M13*'Табл.3'!W9*('Табл.7'!L34)/1000</f>
        <v>0</v>
      </c>
      <c r="N14" s="40">
        <f>N13*'Табл.3'!W9*('Табл.7'!M34)/1000</f>
        <v>0</v>
      </c>
      <c r="O14" s="55">
        <f t="shared" si="0"/>
        <v>2134.1970000000006</v>
      </c>
    </row>
    <row r="15" spans="1:15" ht="30" customHeight="1">
      <c r="A15" s="267"/>
      <c r="B15" s="268" t="s">
        <v>92</v>
      </c>
      <c r="C15" s="98" t="s">
        <v>95</v>
      </c>
      <c r="D15" s="66"/>
      <c r="E15" s="66"/>
      <c r="F15" s="66">
        <v>100</v>
      </c>
      <c r="G15" s="66"/>
      <c r="H15" s="66"/>
      <c r="I15" s="66"/>
      <c r="J15" s="66"/>
      <c r="K15" s="66"/>
      <c r="L15" s="66"/>
      <c r="M15" s="66"/>
      <c r="N15" s="66"/>
      <c r="O15" s="55">
        <f t="shared" si="0"/>
        <v>100</v>
      </c>
    </row>
    <row r="16" spans="1:15" ht="30" customHeight="1">
      <c r="A16" s="267"/>
      <c r="B16" s="268"/>
      <c r="C16" s="98" t="s">
        <v>94</v>
      </c>
      <c r="D16" s="40">
        <f>D15*'Табл.3'!W7/1000</f>
        <v>0</v>
      </c>
      <c r="E16" s="40">
        <f>E15*'Табл.3'!W8/1000</f>
        <v>0</v>
      </c>
      <c r="F16" s="40">
        <f>F15*'Табл.3'!W9/1000</f>
        <v>145</v>
      </c>
      <c r="G16" s="40">
        <f>G15*'Табл.3'!W9*('Табл.7'!F34)/1000</f>
        <v>0</v>
      </c>
      <c r="H16" s="40">
        <f>H15*'Табл.3'!W9*('Табл.7'!G34)/1000</f>
        <v>0</v>
      </c>
      <c r="I16" s="40">
        <f>I15*'Табл.3'!W9*('Табл.7'!H34)/1000</f>
        <v>0</v>
      </c>
      <c r="J16" s="40">
        <f>J15*'Табл.3'!W9*('Табл.7'!I34)/1000</f>
        <v>0</v>
      </c>
      <c r="K16" s="40">
        <f>K15*'Табл.3'!W9*('Табл.7'!J34)/1000</f>
        <v>0</v>
      </c>
      <c r="L16" s="40">
        <f>L15*'Табл.3'!W9*('Табл.7'!K34)/1000</f>
        <v>0</v>
      </c>
      <c r="M16" s="40">
        <f>M15*'Табл.3'!W9*('Табл.7'!L34)/1000</f>
        <v>0</v>
      </c>
      <c r="N16" s="40">
        <f>N15*'Табл.3'!W9*('Табл.7'!M34)/1000</f>
        <v>0</v>
      </c>
      <c r="O16" s="55">
        <f t="shared" si="0"/>
        <v>145</v>
      </c>
    </row>
    <row r="17" spans="1:15" ht="30" customHeight="1">
      <c r="A17" s="267"/>
      <c r="B17" s="268" t="s">
        <v>92</v>
      </c>
      <c r="C17" s="98" t="s">
        <v>95</v>
      </c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55">
        <f t="shared" si="0"/>
        <v>0</v>
      </c>
    </row>
    <row r="18" spans="1:15" ht="30" customHeight="1">
      <c r="A18" s="267"/>
      <c r="B18" s="268"/>
      <c r="C18" s="98" t="s">
        <v>94</v>
      </c>
      <c r="D18" s="40">
        <f>D17*'Табл.3'!W7/1000</f>
        <v>0</v>
      </c>
      <c r="E18" s="40">
        <f>E17*'Табл.3'!W8/1000</f>
        <v>0</v>
      </c>
      <c r="F18" s="40">
        <f>F17*'Табл.3'!W9/1000</f>
        <v>0</v>
      </c>
      <c r="G18" s="40">
        <f>G17*'Табл.3'!W8*('Табл.7'!F34)/1000</f>
        <v>0</v>
      </c>
      <c r="H18" s="40">
        <f>H17*'Табл.3'!W9*('Табл.7'!G34)/1000</f>
        <v>0</v>
      </c>
      <c r="I18" s="40">
        <f>I17*'Табл.3'!W9*('Табл.7'!H34)/1000</f>
        <v>0</v>
      </c>
      <c r="J18" s="40">
        <f>J17*'Табл.3'!W9*('Табл.7'!I34)/1000</f>
        <v>0</v>
      </c>
      <c r="K18" s="40">
        <f>K17*'Табл.3'!W9*('Табл.7'!J34)/1000</f>
        <v>0</v>
      </c>
      <c r="L18" s="40">
        <f>L17*'Табл.3'!W9*('Табл.7'!K34)/1000</f>
        <v>0</v>
      </c>
      <c r="M18" s="40">
        <f>M17*'Табл.3'!W9*('Табл.7'!L34)/1000</f>
        <v>0</v>
      </c>
      <c r="N18" s="40">
        <f>N17*'Табл.3'!W9*('Табл.7'!M34)/1000</f>
        <v>0</v>
      </c>
      <c r="O18" s="55">
        <f t="shared" si="0"/>
        <v>0</v>
      </c>
    </row>
    <row r="19" spans="1:15" ht="30" customHeight="1">
      <c r="A19" s="267"/>
      <c r="B19" s="268" t="s">
        <v>96</v>
      </c>
      <c r="C19" s="98" t="s">
        <v>97</v>
      </c>
      <c r="D19" s="6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55">
        <f t="shared" si="0"/>
        <v>0</v>
      </c>
    </row>
    <row r="20" spans="1:15" ht="30" customHeight="1">
      <c r="A20" s="267"/>
      <c r="B20" s="268"/>
      <c r="C20" s="98" t="s">
        <v>94</v>
      </c>
      <c r="D20" s="40">
        <f>D19*'Табл.3'!V7</f>
        <v>0</v>
      </c>
      <c r="E20" s="40">
        <f>E19*'Табл.3'!V8</f>
        <v>0</v>
      </c>
      <c r="F20" s="40">
        <f>F19*'Табл.3'!V9</f>
        <v>0</v>
      </c>
      <c r="G20" s="40">
        <f>G19*'Табл.3'!V9*('Табл.7'!F34)</f>
        <v>0</v>
      </c>
      <c r="H20" s="40">
        <f>H19*'Табл.3'!V9*('Табл.7'!G34)</f>
        <v>0</v>
      </c>
      <c r="I20" s="40">
        <f>I19*'Табл.3'!V9*('Табл.7'!H34)</f>
        <v>0</v>
      </c>
      <c r="J20" s="40">
        <f>J19*'Табл.3'!V9*('Табл.7'!I34)</f>
        <v>0</v>
      </c>
      <c r="K20" s="40">
        <f>K19*'Табл.3'!V9*('Табл.7'!J34)</f>
        <v>0</v>
      </c>
      <c r="L20" s="40">
        <f>L19*'Табл.3'!V9*('Табл.7'!K34)</f>
        <v>0</v>
      </c>
      <c r="M20" s="40">
        <f>M19*'Табл.3'!V9*('Табл.7'!L34)</f>
        <v>0</v>
      </c>
      <c r="N20" s="40">
        <f>N19*'Табл.3'!V9*('Табл.7'!M34)</f>
        <v>0</v>
      </c>
      <c r="O20" s="55">
        <f t="shared" si="0"/>
        <v>0</v>
      </c>
    </row>
    <row r="21" spans="1:15" ht="30" customHeight="1">
      <c r="A21" s="267"/>
      <c r="B21" s="268" t="s">
        <v>96</v>
      </c>
      <c r="C21" s="98" t="s">
        <v>97</v>
      </c>
      <c r="D21" s="80"/>
      <c r="E21" s="67">
        <v>4.4</v>
      </c>
      <c r="F21" s="66"/>
      <c r="G21" s="66">
        <v>32</v>
      </c>
      <c r="H21" s="66"/>
      <c r="I21" s="66"/>
      <c r="J21" s="66"/>
      <c r="K21" s="66"/>
      <c r="L21" s="66"/>
      <c r="M21" s="66"/>
      <c r="N21" s="66"/>
      <c r="O21" s="55">
        <f t="shared" si="0"/>
        <v>36.4</v>
      </c>
    </row>
    <row r="22" spans="1:15" ht="30" customHeight="1">
      <c r="A22" s="267"/>
      <c r="B22" s="268"/>
      <c r="C22" s="98" t="s">
        <v>94</v>
      </c>
      <c r="D22" s="40">
        <f>D21*'Табл.3'!V7</f>
        <v>0</v>
      </c>
      <c r="E22" s="40">
        <f>E21*'Табл.3'!V8</f>
        <v>26.356</v>
      </c>
      <c r="F22" s="40">
        <f>F21*'Табл.3'!V9</f>
        <v>0</v>
      </c>
      <c r="G22" s="40">
        <f>G21*'Табл.3'!V9*('Табл.7'!F34)</f>
        <v>223.06560000000002</v>
      </c>
      <c r="H22" s="40">
        <f>H21*'Табл.3'!V9*('Табл.7'!G34)</f>
        <v>0</v>
      </c>
      <c r="I22" s="40">
        <f>I21*'Табл.3'!V9*('Табл.7'!H34)</f>
        <v>0</v>
      </c>
      <c r="J22" s="40">
        <f>J21*'Табл.3'!V9*('Табл.7'!I34)</f>
        <v>0</v>
      </c>
      <c r="K22" s="40">
        <f>K21*'Табл.3'!V9*('Табл.7'!J34)</f>
        <v>0</v>
      </c>
      <c r="L22" s="40">
        <f>L21*'Табл.3'!V9*('Табл.7'!K34)</f>
        <v>0</v>
      </c>
      <c r="M22" s="40">
        <f>M21*'Табл.3'!V9*('Табл.7'!L34)</f>
        <v>0</v>
      </c>
      <c r="N22" s="40">
        <f>N21*'Табл.3'!V9*('Табл.7'!M34)</f>
        <v>0</v>
      </c>
      <c r="O22" s="55">
        <f t="shared" si="0"/>
        <v>249.4216</v>
      </c>
    </row>
    <row r="23" spans="1:15" ht="30" customHeight="1">
      <c r="A23" s="265"/>
      <c r="B23" s="268" t="s">
        <v>96</v>
      </c>
      <c r="C23" s="98" t="s">
        <v>97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55">
        <f t="shared" si="0"/>
        <v>0</v>
      </c>
    </row>
    <row r="24" spans="1:15" ht="30" customHeight="1">
      <c r="A24" s="266"/>
      <c r="B24" s="268"/>
      <c r="C24" s="98" t="s">
        <v>94</v>
      </c>
      <c r="D24" s="40">
        <f>D23*'Табл.3'!V7</f>
        <v>0</v>
      </c>
      <c r="E24" s="40">
        <f>E23*'Табл.3'!V8</f>
        <v>0</v>
      </c>
      <c r="F24" s="40">
        <f>F23*'Табл.3'!V9</f>
        <v>0</v>
      </c>
      <c r="G24" s="40">
        <f>G23*'Табл.3'!V9*('Табл.7'!F34)</f>
        <v>0</v>
      </c>
      <c r="H24" s="40">
        <f>H23*'Табл.3'!V9*('Табл.7'!G34)</f>
        <v>0</v>
      </c>
      <c r="I24" s="40">
        <f>I23*'Табл.3'!V9*('Табл.7'!H34)</f>
        <v>0</v>
      </c>
      <c r="J24" s="40">
        <f>J23*'Табл.3'!V9*('Табл.7'!I34)</f>
        <v>0</v>
      </c>
      <c r="K24" s="40">
        <f>K23*'Табл.3'!V9*('Табл.7'!J34)</f>
        <v>0</v>
      </c>
      <c r="L24" s="40">
        <f>L23*'Табл.3'!V9*('Табл.7'!K34)</f>
        <v>0</v>
      </c>
      <c r="M24" s="40">
        <f>M23*'Табл.3'!V9*('Табл.7'!L34)</f>
        <v>0</v>
      </c>
      <c r="N24" s="40">
        <f>N23*'Табл.3'!V9*('Табл.7'!M34)</f>
        <v>0</v>
      </c>
      <c r="O24" s="55">
        <f t="shared" si="0"/>
        <v>0</v>
      </c>
    </row>
    <row r="25" spans="1:15" ht="30" customHeight="1">
      <c r="A25" s="265"/>
      <c r="B25" s="268" t="s">
        <v>96</v>
      </c>
      <c r="C25" s="98" t="s">
        <v>97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55">
        <f t="shared" si="0"/>
        <v>0</v>
      </c>
    </row>
    <row r="26" spans="1:15" ht="30" customHeight="1">
      <c r="A26" s="266"/>
      <c r="B26" s="268"/>
      <c r="C26" s="98" t="s">
        <v>94</v>
      </c>
      <c r="D26" s="40">
        <f>D25*'Табл.3'!V7</f>
        <v>0</v>
      </c>
      <c r="E26" s="40">
        <f>E25*'Табл.3'!V8</f>
        <v>0</v>
      </c>
      <c r="F26" s="40">
        <f>F25*'Табл.3'!V9</f>
        <v>0</v>
      </c>
      <c r="G26" s="40">
        <f>G25*'Табл.3'!V9*('Табл.7'!F34)</f>
        <v>0</v>
      </c>
      <c r="H26" s="40">
        <f>H25*'Табл.3'!V9*('Табл.7'!G34)</f>
        <v>0</v>
      </c>
      <c r="I26" s="40">
        <f>I25*'Табл.3'!V9*('Табл.7'!H34)</f>
        <v>0</v>
      </c>
      <c r="J26" s="40">
        <f>J25*'Табл.3'!V9*('Табл.7'!I34)</f>
        <v>0</v>
      </c>
      <c r="K26" s="40">
        <f>K25*'Табл.3'!V9*('Табл.7'!J34)</f>
        <v>0</v>
      </c>
      <c r="L26" s="40">
        <f>L25*'Табл.3'!V9*('Табл.7'!K34)</f>
        <v>0</v>
      </c>
      <c r="M26" s="40">
        <f>M25*'Табл.3'!V9*('Табл.7'!L34)</f>
        <v>0</v>
      </c>
      <c r="N26" s="40">
        <f>N25*'Табл.3'!V9*('Табл.7'!M34)</f>
        <v>0</v>
      </c>
      <c r="O26" s="55">
        <f t="shared" si="0"/>
        <v>0</v>
      </c>
    </row>
    <row r="27" spans="1:15" ht="31.5" customHeight="1">
      <c r="A27" s="267"/>
      <c r="B27" s="268" t="s">
        <v>316</v>
      </c>
      <c r="C27" s="98" t="s">
        <v>98</v>
      </c>
      <c r="D27" s="67">
        <v>0</v>
      </c>
      <c r="E27" s="66"/>
      <c r="F27" s="66">
        <v>16</v>
      </c>
      <c r="G27" s="66"/>
      <c r="H27" s="66"/>
      <c r="I27" s="66"/>
      <c r="J27" s="66"/>
      <c r="K27" s="66"/>
      <c r="L27" s="66"/>
      <c r="M27" s="66"/>
      <c r="N27" s="66"/>
      <c r="O27" s="55">
        <f t="shared" si="0"/>
        <v>16</v>
      </c>
    </row>
    <row r="28" spans="1:15" ht="28.5" customHeight="1">
      <c r="A28" s="267"/>
      <c r="B28" s="268"/>
      <c r="C28" s="98" t="s">
        <v>94</v>
      </c>
      <c r="D28" s="40">
        <f>D27*'Табл.3'!X7/1000</f>
        <v>0</v>
      </c>
      <c r="E28" s="40">
        <f>E27*'Табл.3'!X8/1000</f>
        <v>0</v>
      </c>
      <c r="F28" s="40">
        <f>F27*'Табл.3'!X9/1000</f>
        <v>1.44</v>
      </c>
      <c r="G28" s="40">
        <f>G27*'Табл.3'!X9*('Табл.7'!F34)/1000</f>
        <v>0</v>
      </c>
      <c r="H28" s="40">
        <f>H27*'Табл.3'!X9*('Табл.7'!G34)/1000</f>
        <v>0</v>
      </c>
      <c r="I28" s="40">
        <f>I27*'Табл.3'!X9*('Табл.7'!H34)/1000</f>
        <v>0</v>
      </c>
      <c r="J28" s="40">
        <f>J27*'Табл.3'!X9*('Табл.7'!I34)/1000</f>
        <v>0</v>
      </c>
      <c r="K28" s="40">
        <f>K27*'Табл.3'!X9*('Табл.7'!J34)/1000</f>
        <v>0</v>
      </c>
      <c r="L28" s="40">
        <f>L27*'Табл.3'!X9*('Табл.7'!K34)/1000</f>
        <v>0</v>
      </c>
      <c r="M28" s="40">
        <f>M27*'Табл.3'!X9*('Табл.7'!L34)/1000</f>
        <v>0</v>
      </c>
      <c r="N28" s="40">
        <f>N27*'Табл.3'!X9*('Табл.7'!M34)/1000</f>
        <v>0</v>
      </c>
      <c r="O28" s="55">
        <f t="shared" si="0"/>
        <v>1.44</v>
      </c>
    </row>
    <row r="29" spans="1:15" ht="31.5" customHeight="1">
      <c r="A29" s="267"/>
      <c r="B29" s="268" t="s">
        <v>122</v>
      </c>
      <c r="C29" s="98" t="s">
        <v>114</v>
      </c>
      <c r="D29" s="67"/>
      <c r="E29" s="66"/>
      <c r="F29" s="66"/>
      <c r="G29" s="66">
        <v>1200</v>
      </c>
      <c r="H29" s="66"/>
      <c r="I29" s="66"/>
      <c r="J29" s="66"/>
      <c r="K29" s="66"/>
      <c r="L29" s="66"/>
      <c r="M29" s="66"/>
      <c r="N29" s="66"/>
      <c r="O29" s="55">
        <f t="shared" si="0"/>
        <v>1200</v>
      </c>
    </row>
    <row r="30" spans="1:15" ht="31.5" customHeight="1">
      <c r="A30" s="267"/>
      <c r="B30" s="268"/>
      <c r="C30" s="98" t="s">
        <v>94</v>
      </c>
      <c r="D30" s="40">
        <f>D29*'Табл.3'!X27/1000</f>
        <v>0</v>
      </c>
      <c r="E30" s="40">
        <f>E29*'Табл.3'!X28/1000</f>
        <v>0</v>
      </c>
      <c r="F30" s="40">
        <f>F29*'Табл.3'!X29/1000</f>
        <v>0</v>
      </c>
      <c r="G30" s="40">
        <f>G29*'Табл.3'!X29*('Табл.7'!F38)/1000</f>
        <v>3313.224</v>
      </c>
      <c r="H30" s="40">
        <f>H29*'Табл.3'!X29*('Табл.7'!G38)/1000</f>
        <v>0</v>
      </c>
      <c r="I30" s="40">
        <f>I29*'Табл.3'!X29*('Табл.7'!H38)/1000</f>
        <v>0</v>
      </c>
      <c r="J30" s="40">
        <f>J29*'Табл.3'!X29*('Табл.7'!I38)/1000</f>
        <v>0</v>
      </c>
      <c r="K30" s="40">
        <f>K29*'Табл.3'!X29*('Табл.7'!J38)/1000</f>
        <v>0</v>
      </c>
      <c r="L30" s="40">
        <f>L29*'Табл.3'!X29*('Табл.7'!K38)/1000</f>
        <v>0</v>
      </c>
      <c r="M30" s="40">
        <f>M29*'Табл.3'!X29*('Табл.7'!L38)/1000</f>
        <v>0</v>
      </c>
      <c r="N30" s="40">
        <f>N29*'Табл.3'!X29*('Табл.7'!M38)/1000</f>
        <v>0</v>
      </c>
      <c r="O30" s="55">
        <f t="shared" si="0"/>
        <v>3313.224</v>
      </c>
    </row>
    <row r="31" spans="1:15" ht="33.75" customHeight="1">
      <c r="A31" s="267"/>
      <c r="B31" s="268" t="s">
        <v>317</v>
      </c>
      <c r="C31" s="98" t="s">
        <v>98</v>
      </c>
      <c r="D31" s="6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55">
        <f t="shared" si="0"/>
        <v>0</v>
      </c>
    </row>
    <row r="32" spans="1:15" ht="33.75" customHeight="1">
      <c r="A32" s="267"/>
      <c r="B32" s="268"/>
      <c r="C32" s="98" t="s">
        <v>94</v>
      </c>
      <c r="D32" s="40">
        <f>D31*'Табл.3'!Y7/1000</f>
        <v>0</v>
      </c>
      <c r="E32" s="40">
        <f>E31*'Табл.3'!Y8/1000</f>
        <v>0</v>
      </c>
      <c r="F32" s="40">
        <f>F31*'Табл.3'!Y9/1000</f>
        <v>0</v>
      </c>
      <c r="G32" s="40">
        <f>G31*'Табл.3'!Y9*'Табл.7'!F34/1000</f>
        <v>0</v>
      </c>
      <c r="H32" s="40">
        <f>H31*'Табл.3'!Y9*'Табл.7'!G34/1000</f>
        <v>0</v>
      </c>
      <c r="I32" s="40">
        <f>I31*'Табл.3'!Y9*'Табл.7'!H34/1000</f>
        <v>0</v>
      </c>
      <c r="J32" s="40">
        <f>J31*'Табл.3'!Y9*'Табл.7'!I34/1000</f>
        <v>0</v>
      </c>
      <c r="K32" s="40">
        <f>K31*'Табл.3'!Y9*'Табл.7'!J34/1000</f>
        <v>0</v>
      </c>
      <c r="L32" s="40">
        <f>L31*'Табл.3'!Y9*'Табл.7'!K34/1000</f>
        <v>0</v>
      </c>
      <c r="M32" s="40">
        <f>M31*'Табл.3'!Y9*'Табл.7'!L34/1000</f>
        <v>0</v>
      </c>
      <c r="N32" s="40">
        <f>N31*'Табл.3'!Y9*'Табл.7'!M34/1000</f>
        <v>0</v>
      </c>
      <c r="O32" s="55">
        <f t="shared" si="0"/>
        <v>0</v>
      </c>
    </row>
    <row r="33" spans="1:15" ht="35.25" customHeight="1">
      <c r="A33" s="267"/>
      <c r="B33" s="268" t="s">
        <v>208</v>
      </c>
      <c r="C33" s="98" t="s">
        <v>114</v>
      </c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55">
        <f t="shared" si="0"/>
        <v>0</v>
      </c>
    </row>
    <row r="34" spans="1:15" ht="35.25" customHeight="1">
      <c r="A34" s="267"/>
      <c r="B34" s="268"/>
      <c r="C34" s="98" t="s">
        <v>94</v>
      </c>
      <c r="D34" s="134">
        <f>D33*'Табл.3'!Y27/1000</f>
        <v>0</v>
      </c>
      <c r="E34" s="134">
        <f>E33*'Табл.3'!Y28/1000</f>
        <v>0</v>
      </c>
      <c r="F34" s="134">
        <f>F33*'Табл.3'!Y29/1000</f>
        <v>0</v>
      </c>
      <c r="G34" s="134">
        <f>G33*'Табл.3'!Y29*'Табл.7'!F34/1000</f>
        <v>0</v>
      </c>
      <c r="H34" s="134">
        <f>H33*'Табл.3'!Z29*'Табл.7'!G34/1000</f>
        <v>0</v>
      </c>
      <c r="I34" s="134">
        <f>I33*'Табл.3'!Y29*'Табл.7'!H34/1000</f>
        <v>0</v>
      </c>
      <c r="J34" s="134">
        <f>J33*'Табл.3'!Y29*'Табл.7'!I34/1000</f>
        <v>0</v>
      </c>
      <c r="K34" s="134">
        <f>K33*'Табл.3'!Y29*'Табл.7'!J34/1000</f>
        <v>0</v>
      </c>
      <c r="L34" s="134">
        <f>L33*'Табл.3'!Y29*'Табл.7'!K34/1000</f>
        <v>0</v>
      </c>
      <c r="M34" s="134">
        <f>M33*'Табл.3'!Y29*'Табл.7'!L34/1000</f>
        <v>0</v>
      </c>
      <c r="N34" s="134">
        <f>N33*'Табл.3'!Y29*'Табл.7'!M34/1000</f>
        <v>0</v>
      </c>
      <c r="O34" s="55">
        <f t="shared" si="0"/>
        <v>0</v>
      </c>
    </row>
    <row r="35" spans="1:15" ht="35.25" customHeight="1">
      <c r="A35" s="267"/>
      <c r="B35" s="268" t="s">
        <v>115</v>
      </c>
      <c r="C35" s="98" t="s">
        <v>98</v>
      </c>
      <c r="D35" s="67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55">
        <f t="shared" si="0"/>
        <v>0</v>
      </c>
    </row>
    <row r="36" spans="1:15" ht="35.25" customHeight="1">
      <c r="A36" s="267"/>
      <c r="B36" s="268"/>
      <c r="C36" s="98" t="s">
        <v>94</v>
      </c>
      <c r="D36" s="40">
        <f>D35*'Табл.3'!V27/1000</f>
        <v>0</v>
      </c>
      <c r="E36" s="40">
        <f>E35*'Табл.3'!V28/1000</f>
        <v>0</v>
      </c>
      <c r="F36" s="40">
        <f>F35*'Табл.3'!V29/1000</f>
        <v>0</v>
      </c>
      <c r="G36" s="40">
        <f>G35*'Табл.3'!V29*'Табл.7'!F34/1000</f>
        <v>0</v>
      </c>
      <c r="H36" s="40">
        <f>H35*'Табл.3'!V29*'Табл.7'!G34/1000</f>
        <v>0</v>
      </c>
      <c r="I36" s="40">
        <f>I35*'Табл.3'!V29*'Табл.7'!H34/1000</f>
        <v>0</v>
      </c>
      <c r="J36" s="40">
        <f>J35*'Табл.3'!V29*'Табл.7'!I34/1000</f>
        <v>0</v>
      </c>
      <c r="K36" s="40">
        <f>K35*'Табл.3'!V29*'Табл.7'!J34/1000</f>
        <v>0</v>
      </c>
      <c r="L36" s="40">
        <f>L35*'Табл.3'!V29*'Табл.7'!K34/1000</f>
        <v>0</v>
      </c>
      <c r="M36" s="40">
        <f>M35*'Табл.3'!V29*'Табл.7'!L34/1000</f>
        <v>0</v>
      </c>
      <c r="N36" s="40">
        <f>N35*'Табл.3'!V29*'Табл.7'!M34/1000</f>
        <v>0</v>
      </c>
      <c r="O36" s="55">
        <f t="shared" si="0"/>
        <v>0</v>
      </c>
    </row>
    <row r="38" spans="1:15" ht="40.5" customHeight="1">
      <c r="A38" s="269" t="s">
        <v>363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</row>
    <row r="39" spans="1:17" ht="15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5" ht="15.7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</row>
  </sheetData>
  <sheetProtection/>
  <mergeCells count="37">
    <mergeCell ref="A7:A8"/>
    <mergeCell ref="A40:O40"/>
    <mergeCell ref="A38:O38"/>
    <mergeCell ref="A29:A30"/>
    <mergeCell ref="B29:B30"/>
    <mergeCell ref="A21:A22"/>
    <mergeCell ref="B21:B22"/>
    <mergeCell ref="A27:A28"/>
    <mergeCell ref="B27:B28"/>
    <mergeCell ref="B23:B24"/>
    <mergeCell ref="B13:B14"/>
    <mergeCell ref="A1:O1"/>
    <mergeCell ref="A15:A16"/>
    <mergeCell ref="B15:B16"/>
    <mergeCell ref="A17:A18"/>
    <mergeCell ref="B17:B18"/>
    <mergeCell ref="A2:O2"/>
    <mergeCell ref="A5:A6"/>
    <mergeCell ref="B5:B6"/>
    <mergeCell ref="C5:O5"/>
    <mergeCell ref="A35:A36"/>
    <mergeCell ref="B35:B36"/>
    <mergeCell ref="B7:B8"/>
    <mergeCell ref="A19:A20"/>
    <mergeCell ref="B19:B20"/>
    <mergeCell ref="A9:A10"/>
    <mergeCell ref="B9:B10"/>
    <mergeCell ref="A11:A12"/>
    <mergeCell ref="B11:B12"/>
    <mergeCell ref="A13:A14"/>
    <mergeCell ref="A23:A24"/>
    <mergeCell ref="A25:A26"/>
    <mergeCell ref="A31:A32"/>
    <mergeCell ref="B31:B32"/>
    <mergeCell ref="A33:A34"/>
    <mergeCell ref="B33:B34"/>
    <mergeCell ref="B25:B2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Щелоков</dc:creator>
  <cp:keywords/>
  <dc:description/>
  <cp:lastModifiedBy>Admin</cp:lastModifiedBy>
  <cp:lastPrinted>2012-12-18T10:47:13Z</cp:lastPrinted>
  <dcterms:created xsi:type="dcterms:W3CDTF">2011-11-11T05:15:03Z</dcterms:created>
  <dcterms:modified xsi:type="dcterms:W3CDTF">2013-04-30T13:12:27Z</dcterms:modified>
  <cp:category/>
  <cp:version/>
  <cp:contentType/>
  <cp:contentStatus/>
</cp:coreProperties>
</file>